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drawings/drawing1.xml" ContentType="application/vnd.openxmlformats-officedocument.drawing+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drawings/drawing2.xml" ContentType="application/vnd.openxmlformats-officedocument.drawing+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mc:AlternateContent xmlns:mc="http://schemas.openxmlformats.org/markup-compatibility/2006">
    <mc:Choice Requires="x15">
      <x15ac:absPath xmlns:x15ac="http://schemas.microsoft.com/office/spreadsheetml/2010/11/ac" url="https://wdcnz.sharepoint.com/sites/StrategyandAdviceToituteWaiora/Corporate Team/Early Childhood Education Project 2025/"/>
    </mc:Choice>
  </mc:AlternateContent>
  <xr:revisionPtr revIDLastSave="0" documentId="8_{06AB41E9-766C-42F7-9B39-29D93BD0162A}" xr6:coauthVersionLast="47" xr6:coauthVersionMax="47" xr10:uidLastSave="{00000000-0000-0000-0000-000000000000}"/>
  <bookViews>
    <workbookView xWindow="-103" yWindow="-103" windowWidth="16663" windowHeight="8743" xr2:uid="{092FF775-6B48-4BE5-9952-7B2D165F777A}"/>
  </bookViews>
  <sheets>
    <sheet name="About" sheetId="34" r:id="rId1"/>
    <sheet name="Contents" sheetId="1" r:id="rId2"/>
    <sheet name="Definitions" sheetId="5" r:id="rId3"/>
    <sheet name="Tab 1" sheetId="29" r:id="rId4"/>
    <sheet name="Tab 2" sheetId="30" r:id="rId5"/>
    <sheet name="Tab 3" sheetId="33" r:id="rId6"/>
    <sheet name="Tab 4" sheetId="32" r:id="rId7"/>
    <sheet name="Tab 5" sheetId="13" r:id="rId8"/>
    <sheet name="Tab 6" sheetId="14" r:id="rId9"/>
    <sheet name="Tab 7" sheetId="15" r:id="rId10"/>
    <sheet name="Tab 8" sheetId="23" r:id="rId11"/>
    <sheet name="Tab 9" sheetId="6" r:id="rId12"/>
    <sheet name="Tab 10" sheetId="11" r:id="rId13"/>
    <sheet name="Tab 11" sheetId="25" r:id="rId14"/>
    <sheet name="Tab 12" sheetId="27" r:id="rId15"/>
    <sheet name="Tab 13" sheetId="26" r:id="rId16"/>
    <sheet name="Tab 14" sheetId="17" r:id="rId17"/>
    <sheet name="Tab 15" sheetId="18" r:id="rId18"/>
    <sheet name="Tab 16" sheetId="35" r:id="rId19"/>
    <sheet name="S1" sheetId="9" state="hidden" r:id="rId20"/>
    <sheet name="S2" sheetId="20" state="hidden" r:id="rId21"/>
    <sheet name="S3" sheetId="21" state="hidden" r:id="rId22"/>
  </sheets>
  <externalReferences>
    <externalReference r:id="rId23"/>
    <externalReference r:id="rId24"/>
    <externalReference r:id="rId25"/>
    <externalReference r:id="rId26"/>
  </externalReferenc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 i="23" l="1"/>
  <c r="H16" i="23"/>
  <c r="I15" i="23"/>
  <c r="H15" i="23"/>
  <c r="J14" i="23"/>
  <c r="I14" i="23"/>
  <c r="H14" i="23"/>
  <c r="E56" i="27"/>
  <c r="E57" i="27"/>
  <c r="E58" i="27"/>
  <c r="E59" i="27"/>
  <c r="E60" i="27"/>
  <c r="E61" i="27"/>
  <c r="E62" i="27"/>
  <c r="E63" i="27"/>
  <c r="E64" i="27"/>
  <c r="E65" i="27"/>
  <c r="E66" i="27"/>
  <c r="E67" i="27"/>
  <c r="E68" i="27"/>
  <c r="E69" i="27"/>
  <c r="E70" i="27"/>
  <c r="E71" i="27"/>
  <c r="E72" i="27"/>
  <c r="AF58" i="32" l="1"/>
  <c r="AH53" i="32"/>
  <c r="F53" i="32"/>
  <c r="AM49" i="32"/>
  <c r="AP48" i="32"/>
  <c r="AP49" i="32" s="1"/>
  <c r="AO48" i="32"/>
  <c r="AO49" i="32" s="1"/>
  <c r="AN48" i="32"/>
  <c r="AN49" i="32" s="1"/>
  <c r="AM48" i="32"/>
  <c r="AL48" i="32"/>
  <c r="AL49" i="32" s="1"/>
  <c r="AP47" i="32"/>
  <c r="AO47" i="32"/>
  <c r="AN47" i="32"/>
  <c r="AM47" i="32"/>
  <c r="AL47" i="32"/>
  <c r="AP46" i="32"/>
  <c r="AO46" i="32"/>
  <c r="AN46" i="32"/>
  <c r="AM46" i="32"/>
  <c r="AL46" i="32"/>
  <c r="F46" i="32"/>
  <c r="AP45" i="32"/>
  <c r="AO45" i="32"/>
  <c r="AN45" i="32"/>
  <c r="AM45" i="32"/>
  <c r="AL45" i="32"/>
  <c r="AF45" i="32"/>
  <c r="F45" i="32"/>
  <c r="AK43" i="32"/>
  <c r="AJ43" i="32"/>
  <c r="AJ54" i="32" s="1"/>
  <c r="AI43" i="32"/>
  <c r="AH43" i="32"/>
  <c r="AG43" i="32"/>
  <c r="AF43" i="32"/>
  <c r="AF48" i="32" s="1"/>
  <c r="AF49" i="32" s="1"/>
  <c r="T43" i="32"/>
  <c r="I43" i="32"/>
  <c r="H43" i="32"/>
  <c r="G43" i="32"/>
  <c r="F43" i="32"/>
  <c r="E43" i="32"/>
  <c r="D43" i="32"/>
  <c r="D52" i="32" s="1"/>
  <c r="AK42" i="32"/>
  <c r="AJ42" i="32"/>
  <c r="AI42" i="32"/>
  <c r="AH42" i="32"/>
  <c r="AG42" i="32"/>
  <c r="AF42" i="32"/>
  <c r="V42" i="32"/>
  <c r="S42" i="32"/>
  <c r="I42" i="32"/>
  <c r="H42" i="32"/>
  <c r="G42" i="32"/>
  <c r="F42" i="32"/>
  <c r="E42" i="32"/>
  <c r="D42" i="32"/>
  <c r="AK41" i="32"/>
  <c r="AJ41" i="32"/>
  <c r="AI41" i="32"/>
  <c r="AH41" i="32"/>
  <c r="AG41" i="32"/>
  <c r="AF41" i="32"/>
  <c r="U41" i="32"/>
  <c r="I41" i="32"/>
  <c r="H41" i="32"/>
  <c r="G41" i="32"/>
  <c r="F41" i="32"/>
  <c r="E41" i="32"/>
  <c r="D41" i="32"/>
  <c r="AK40" i="32"/>
  <c r="AJ40" i="32"/>
  <c r="AI40" i="32"/>
  <c r="AH40" i="32"/>
  <c r="AG40" i="32"/>
  <c r="AF40" i="32"/>
  <c r="V40" i="32"/>
  <c r="I40" i="32"/>
  <c r="H40" i="32"/>
  <c r="G40" i="32"/>
  <c r="F40" i="32"/>
  <c r="E40" i="32"/>
  <c r="D40" i="32"/>
  <c r="AK39" i="32"/>
  <c r="AJ39" i="32"/>
  <c r="AJ59" i="32" s="1"/>
  <c r="AI39" i="32"/>
  <c r="AH39" i="32"/>
  <c r="AG39" i="32"/>
  <c r="AF39" i="32"/>
  <c r="AF59" i="32" s="1"/>
  <c r="T39" i="32"/>
  <c r="I39" i="32"/>
  <c r="H39" i="32"/>
  <c r="H59" i="32" s="1"/>
  <c r="G39" i="32"/>
  <c r="F39" i="32"/>
  <c r="E39" i="32"/>
  <c r="D39" i="32"/>
  <c r="AK38" i="32"/>
  <c r="AJ38" i="32"/>
  <c r="AI38" i="32"/>
  <c r="AH38" i="32"/>
  <c r="AH58" i="32" s="1"/>
  <c r="AG38" i="32"/>
  <c r="AF38" i="32"/>
  <c r="U38" i="32"/>
  <c r="S38" i="32"/>
  <c r="R38" i="32"/>
  <c r="I38" i="32"/>
  <c r="H38" i="32"/>
  <c r="G38" i="32"/>
  <c r="G58" i="32" s="1"/>
  <c r="F38" i="32"/>
  <c r="F58" i="32" s="1"/>
  <c r="E38" i="32"/>
  <c r="D38" i="32"/>
  <c r="AK37" i="32"/>
  <c r="AJ37" i="32"/>
  <c r="AI37" i="32"/>
  <c r="AH37" i="32"/>
  <c r="AG37" i="32"/>
  <c r="AF37" i="32"/>
  <c r="U37" i="32"/>
  <c r="T37" i="32"/>
  <c r="S37" i="32"/>
  <c r="I37" i="32"/>
  <c r="H37" i="32"/>
  <c r="H52" i="32" s="1"/>
  <c r="G37" i="32"/>
  <c r="F37" i="32"/>
  <c r="E37" i="32"/>
  <c r="D37" i="32"/>
  <c r="D47" i="32" s="1"/>
  <c r="AK36" i="32"/>
  <c r="AK45" i="32" s="1"/>
  <c r="AJ36" i="32"/>
  <c r="AI36" i="32"/>
  <c r="AH36" i="32"/>
  <c r="AH46" i="32" s="1"/>
  <c r="AG36" i="32"/>
  <c r="AF36" i="32"/>
  <c r="I36" i="32"/>
  <c r="H36" i="32"/>
  <c r="G36" i="32"/>
  <c r="F36" i="32"/>
  <c r="E36" i="32"/>
  <c r="D36" i="32"/>
  <c r="AK35" i="32"/>
  <c r="AJ35" i="32"/>
  <c r="AJ52" i="32" s="1"/>
  <c r="AI35" i="32"/>
  <c r="AH35" i="32"/>
  <c r="AG35" i="32"/>
  <c r="AF35" i="32"/>
  <c r="T35" i="32"/>
  <c r="S35" i="32"/>
  <c r="I35" i="32"/>
  <c r="H35" i="32"/>
  <c r="H54" i="32" s="1"/>
  <c r="H55" i="32" s="1"/>
  <c r="G35" i="32"/>
  <c r="G45" i="32" s="1"/>
  <c r="F35" i="32"/>
  <c r="E35" i="32"/>
  <c r="D35" i="32"/>
  <c r="AK34" i="32"/>
  <c r="AJ34" i="32"/>
  <c r="AJ47" i="32" s="1"/>
  <c r="AI34" i="32"/>
  <c r="AI46" i="32" s="1"/>
  <c r="AH34" i="32"/>
  <c r="AG34" i="32"/>
  <c r="AF34" i="32"/>
  <c r="V34" i="32"/>
  <c r="S34" i="32"/>
  <c r="R34" i="32"/>
  <c r="I34" i="32"/>
  <c r="I46" i="32" s="1"/>
  <c r="H34" i="32"/>
  <c r="G34" i="32"/>
  <c r="G52" i="32" s="1"/>
  <c r="F34" i="32"/>
  <c r="E34" i="32"/>
  <c r="D34" i="32"/>
  <c r="AA30" i="32"/>
  <c r="V30" i="32"/>
  <c r="U30" i="32"/>
  <c r="U43" i="32" s="1"/>
  <c r="T30" i="32"/>
  <c r="S30" i="32"/>
  <c r="R30" i="32"/>
  <c r="N30" i="32"/>
  <c r="M30" i="32"/>
  <c r="L30" i="32"/>
  <c r="K30" i="32"/>
  <c r="J30" i="32"/>
  <c r="V29" i="32"/>
  <c r="U29" i="32"/>
  <c r="AA29" i="32" s="1"/>
  <c r="T29" i="32"/>
  <c r="Z29" i="32" s="1"/>
  <c r="S29" i="32"/>
  <c r="R29" i="32"/>
  <c r="Y29" i="32" s="1"/>
  <c r="N29" i="32"/>
  <c r="M29" i="32"/>
  <c r="L29" i="32"/>
  <c r="K29" i="32"/>
  <c r="J29" i="32"/>
  <c r="V28" i="32"/>
  <c r="V41" i="32" s="1"/>
  <c r="U28" i="32"/>
  <c r="T28" i="32"/>
  <c r="T41" i="32" s="1"/>
  <c r="S28" i="32"/>
  <c r="AB28" i="32" s="1"/>
  <c r="R28" i="32"/>
  <c r="N28" i="32"/>
  <c r="M28" i="32"/>
  <c r="L28" i="32"/>
  <c r="K28" i="32"/>
  <c r="J28" i="32"/>
  <c r="AA27" i="32"/>
  <c r="V27" i="32"/>
  <c r="AB27" i="32" s="1"/>
  <c r="U27" i="32"/>
  <c r="T27" i="32"/>
  <c r="T40" i="32" s="1"/>
  <c r="S27" i="32"/>
  <c r="S40" i="32" s="1"/>
  <c r="R27" i="32"/>
  <c r="Y27" i="32" s="1"/>
  <c r="N27" i="32"/>
  <c r="M27" i="32"/>
  <c r="L27" i="32"/>
  <c r="K27" i="32"/>
  <c r="J27" i="32"/>
  <c r="V26" i="32"/>
  <c r="X26" i="32" s="1"/>
  <c r="U26" i="32"/>
  <c r="U39" i="32" s="1"/>
  <c r="T26" i="32"/>
  <c r="S26" i="32"/>
  <c r="R26" i="32"/>
  <c r="Z26" i="32" s="1"/>
  <c r="N26" i="32"/>
  <c r="M26" i="32"/>
  <c r="L26" i="32"/>
  <c r="K26" i="32"/>
  <c r="J26" i="32"/>
  <c r="Y25" i="32"/>
  <c r="V25" i="32"/>
  <c r="V38" i="32" s="1"/>
  <c r="U25" i="32"/>
  <c r="AA25" i="32" s="1"/>
  <c r="T25" i="32"/>
  <c r="S25" i="32"/>
  <c r="R25" i="32"/>
  <c r="W38" i="32" s="1"/>
  <c r="N25" i="32"/>
  <c r="M25" i="32"/>
  <c r="L25" i="32"/>
  <c r="K25" i="32"/>
  <c r="J25" i="32"/>
  <c r="X24" i="32"/>
  <c r="V24" i="32"/>
  <c r="V37" i="32" s="1"/>
  <c r="U24" i="32"/>
  <c r="T24" i="32"/>
  <c r="Z24" i="32" s="1"/>
  <c r="S24" i="32"/>
  <c r="W37" i="32" s="1"/>
  <c r="R24" i="32"/>
  <c r="R37" i="32" s="1"/>
  <c r="N24" i="32"/>
  <c r="M24" i="32"/>
  <c r="L24" i="32"/>
  <c r="L47" i="32" s="1"/>
  <c r="K24" i="32"/>
  <c r="J24" i="32"/>
  <c r="V23" i="32"/>
  <c r="U23" i="32"/>
  <c r="T23" i="32"/>
  <c r="AB23" i="32" s="1"/>
  <c r="S23" i="32"/>
  <c r="AA23" i="32" s="1"/>
  <c r="R23" i="32"/>
  <c r="W36" i="32" s="1"/>
  <c r="N23" i="32"/>
  <c r="M23" i="32"/>
  <c r="L23" i="32"/>
  <c r="K23" i="32"/>
  <c r="J23" i="32"/>
  <c r="AB22" i="32"/>
  <c r="V22" i="32"/>
  <c r="V35" i="32" s="1"/>
  <c r="U22" i="32"/>
  <c r="U35" i="32" s="1"/>
  <c r="T22" i="32"/>
  <c r="S22" i="32"/>
  <c r="R22" i="32"/>
  <c r="N22" i="32"/>
  <c r="N46" i="32" s="1"/>
  <c r="M22" i="32"/>
  <c r="L22" i="32"/>
  <c r="K22" i="32"/>
  <c r="J22" i="32"/>
  <c r="Y21" i="32"/>
  <c r="V21" i="32"/>
  <c r="AB21" i="32" s="1"/>
  <c r="U21" i="32"/>
  <c r="AA21" i="32" s="1"/>
  <c r="T21" i="32"/>
  <c r="S21" i="32"/>
  <c r="R21" i="32"/>
  <c r="Z21" i="32" s="1"/>
  <c r="N21" i="32"/>
  <c r="M21" i="32"/>
  <c r="L21" i="32"/>
  <c r="K21" i="32"/>
  <c r="K46" i="32" s="1"/>
  <c r="J21" i="32"/>
  <c r="J48" i="32" s="1"/>
  <c r="V17" i="32"/>
  <c r="U17" i="32"/>
  <c r="T17" i="32"/>
  <c r="S17" i="32"/>
  <c r="W43" i="32" s="1"/>
  <c r="R17" i="32"/>
  <c r="X17" i="32" s="1"/>
  <c r="L17" i="32"/>
  <c r="J17" i="32"/>
  <c r="N17" i="32" s="1"/>
  <c r="V16" i="32"/>
  <c r="U16" i="32"/>
  <c r="T16" i="32"/>
  <c r="S16" i="32"/>
  <c r="X16" i="32" s="1"/>
  <c r="Z16" i="32" s="1"/>
  <c r="R16" i="32"/>
  <c r="N16" i="32"/>
  <c r="M16" i="32"/>
  <c r="L16" i="32"/>
  <c r="J16" i="32"/>
  <c r="AB15" i="32"/>
  <c r="V15" i="32"/>
  <c r="U15" i="32"/>
  <c r="T15" i="32"/>
  <c r="S15" i="32"/>
  <c r="R15" i="32"/>
  <c r="X15" i="32" s="1"/>
  <c r="AA15" i="32" s="1"/>
  <c r="N15" i="32"/>
  <c r="M15" i="32"/>
  <c r="J15" i="32"/>
  <c r="L15" i="32" s="1"/>
  <c r="V14" i="32"/>
  <c r="U14" i="32"/>
  <c r="U40" i="32" s="1"/>
  <c r="T14" i="32"/>
  <c r="S14" i="32"/>
  <c r="R14" i="32"/>
  <c r="N14" i="32"/>
  <c r="J14" i="32"/>
  <c r="M14" i="32" s="1"/>
  <c r="V13" i="32"/>
  <c r="U13" i="32"/>
  <c r="T13" i="32"/>
  <c r="S13" i="32"/>
  <c r="X13" i="32" s="1"/>
  <c r="R13" i="32"/>
  <c r="L13" i="32"/>
  <c r="J13" i="32"/>
  <c r="AA12" i="32"/>
  <c r="Z12" i="32"/>
  <c r="X12" i="32"/>
  <c r="V12" i="32"/>
  <c r="U12" i="32"/>
  <c r="T12" i="32"/>
  <c r="S12" i="32"/>
  <c r="R12" i="32"/>
  <c r="N12" i="32"/>
  <c r="M12" i="32"/>
  <c r="L12" i="32"/>
  <c r="J12" i="32"/>
  <c r="V11" i="32"/>
  <c r="U11" i="32"/>
  <c r="T11" i="32"/>
  <c r="S11" i="32"/>
  <c r="R11" i="32"/>
  <c r="M11" i="32"/>
  <c r="J11" i="32"/>
  <c r="L11" i="32" s="1"/>
  <c r="V10" i="32"/>
  <c r="V36" i="32" s="1"/>
  <c r="U10" i="32"/>
  <c r="U36" i="32" s="1"/>
  <c r="T10" i="32"/>
  <c r="S10" i="32"/>
  <c r="R10" i="32"/>
  <c r="J10" i="32"/>
  <c r="X9" i="32"/>
  <c r="AB9" i="32" s="1"/>
  <c r="V9" i="32"/>
  <c r="U9" i="32"/>
  <c r="T9" i="32"/>
  <c r="S9" i="32"/>
  <c r="R9" i="32"/>
  <c r="J9" i="32"/>
  <c r="N9" i="32" s="1"/>
  <c r="V8" i="32"/>
  <c r="U8" i="32"/>
  <c r="T8" i="32"/>
  <c r="S8" i="32"/>
  <c r="R8" i="32"/>
  <c r="N8" i="32"/>
  <c r="M8" i="32"/>
  <c r="L8" i="32"/>
  <c r="J8" i="32"/>
  <c r="AP48" i="33"/>
  <c r="AO48" i="33"/>
  <c r="AO49" i="33" s="1"/>
  <c r="AN48" i="33"/>
  <c r="AM48" i="33"/>
  <c r="AL48" i="33"/>
  <c r="AL49" i="33" s="1"/>
  <c r="AP47" i="33"/>
  <c r="AO47" i="33"/>
  <c r="AN47" i="33"/>
  <c r="AM47" i="33"/>
  <c r="AL47" i="33"/>
  <c r="AP46" i="33"/>
  <c r="AO46" i="33"/>
  <c r="AN46" i="33"/>
  <c r="AM46" i="33"/>
  <c r="AL46" i="33"/>
  <c r="AP45" i="33"/>
  <c r="AO45" i="33"/>
  <c r="AN45" i="33"/>
  <c r="AM45" i="33"/>
  <c r="AL45" i="33"/>
  <c r="AK43" i="33"/>
  <c r="AJ43" i="33"/>
  <c r="AI43" i="33"/>
  <c r="AH43" i="33"/>
  <c r="AG43" i="33"/>
  <c r="AF43" i="33"/>
  <c r="I43" i="33"/>
  <c r="H43" i="33"/>
  <c r="G43" i="33"/>
  <c r="F43" i="33"/>
  <c r="E43" i="33"/>
  <c r="D43" i="33"/>
  <c r="AK42" i="33"/>
  <c r="AJ42" i="33"/>
  <c r="AI42" i="33"/>
  <c r="AH42" i="33"/>
  <c r="AG42" i="33"/>
  <c r="AF42" i="33"/>
  <c r="I42" i="33"/>
  <c r="H42" i="33"/>
  <c r="G42" i="33"/>
  <c r="F42" i="33"/>
  <c r="E42" i="33"/>
  <c r="D42" i="33"/>
  <c r="AK41" i="33"/>
  <c r="AJ41" i="33"/>
  <c r="AI41" i="33"/>
  <c r="AH41" i="33"/>
  <c r="AG41" i="33"/>
  <c r="AF41" i="33"/>
  <c r="I41" i="33"/>
  <c r="H41" i="33"/>
  <c r="G41" i="33"/>
  <c r="F41" i="33"/>
  <c r="E41" i="33"/>
  <c r="D41" i="33"/>
  <c r="AK40" i="33"/>
  <c r="AJ40" i="33"/>
  <c r="AI40" i="33"/>
  <c r="AH40" i="33"/>
  <c r="AG40" i="33"/>
  <c r="AF40" i="33"/>
  <c r="I40" i="33"/>
  <c r="H40" i="33"/>
  <c r="G40" i="33"/>
  <c r="F40" i="33"/>
  <c r="E40" i="33"/>
  <c r="D40" i="33"/>
  <c r="AK39" i="33"/>
  <c r="AJ39" i="33"/>
  <c r="AI39" i="33"/>
  <c r="AH39" i="33"/>
  <c r="AH59" i="33" s="1"/>
  <c r="AG39" i="33"/>
  <c r="AG58" i="33" s="1"/>
  <c r="AF39" i="33"/>
  <c r="I39" i="33"/>
  <c r="H39" i="33"/>
  <c r="G39" i="33"/>
  <c r="F39" i="33"/>
  <c r="E39" i="33"/>
  <c r="D39" i="33"/>
  <c r="AK38" i="33"/>
  <c r="AJ38" i="33"/>
  <c r="AJ58" i="33" s="1"/>
  <c r="AI38" i="33"/>
  <c r="AI58" i="33" s="1"/>
  <c r="AH38" i="33"/>
  <c r="AH58" i="33" s="1"/>
  <c r="AG38" i="33"/>
  <c r="AF38" i="33"/>
  <c r="T38" i="33"/>
  <c r="S38" i="33"/>
  <c r="I38" i="33"/>
  <c r="H38" i="33"/>
  <c r="G38" i="33"/>
  <c r="F38" i="33"/>
  <c r="E38" i="33"/>
  <c r="D38" i="33"/>
  <c r="AK37" i="33"/>
  <c r="AJ37" i="33"/>
  <c r="AI37" i="33"/>
  <c r="AH37" i="33"/>
  <c r="AG37" i="33"/>
  <c r="AF37" i="33"/>
  <c r="I37" i="33"/>
  <c r="H37" i="33"/>
  <c r="G37" i="33"/>
  <c r="F37" i="33"/>
  <c r="E37" i="33"/>
  <c r="D37" i="33"/>
  <c r="AK36" i="33"/>
  <c r="AJ36" i="33"/>
  <c r="AI36" i="33"/>
  <c r="AH36" i="33"/>
  <c r="AG36" i="33"/>
  <c r="AF36" i="33"/>
  <c r="I36" i="33"/>
  <c r="H36" i="33"/>
  <c r="G36" i="33"/>
  <c r="F36" i="33"/>
  <c r="E36" i="33"/>
  <c r="D36" i="33"/>
  <c r="AK35" i="33"/>
  <c r="AJ35" i="33"/>
  <c r="AI35" i="33"/>
  <c r="AH35" i="33"/>
  <c r="AG35" i="33"/>
  <c r="AF35" i="33"/>
  <c r="I35" i="33"/>
  <c r="H35" i="33"/>
  <c r="G35" i="33"/>
  <c r="F35" i="33"/>
  <c r="E35" i="33"/>
  <c r="D35" i="33"/>
  <c r="AK34" i="33"/>
  <c r="AJ34" i="33"/>
  <c r="AI34" i="33"/>
  <c r="AI53" i="33" s="1"/>
  <c r="AH34" i="33"/>
  <c r="AG34" i="33"/>
  <c r="AF34" i="33"/>
  <c r="I34" i="33"/>
  <c r="I53" i="33" s="1"/>
  <c r="H34" i="33"/>
  <c r="H53" i="33" s="1"/>
  <c r="G34" i="33"/>
  <c r="F34" i="33"/>
  <c r="E34" i="33"/>
  <c r="D34" i="33"/>
  <c r="V30" i="33"/>
  <c r="U30" i="33"/>
  <c r="T30" i="33"/>
  <c r="T43" i="33" s="1"/>
  <c r="S30" i="33"/>
  <c r="S43" i="33" s="1"/>
  <c r="R30" i="33"/>
  <c r="N30" i="33"/>
  <c r="M30" i="33"/>
  <c r="L30" i="33"/>
  <c r="K30" i="33"/>
  <c r="J30" i="33"/>
  <c r="V29" i="33"/>
  <c r="V42" i="33" s="1"/>
  <c r="U29" i="33"/>
  <c r="U42" i="33" s="1"/>
  <c r="T29" i="33"/>
  <c r="S29" i="33"/>
  <c r="R29" i="33"/>
  <c r="N29" i="33"/>
  <c r="M29" i="33"/>
  <c r="L29" i="33"/>
  <c r="K29" i="33"/>
  <c r="J29" i="33"/>
  <c r="V28" i="33"/>
  <c r="U28" i="33"/>
  <c r="T28" i="33"/>
  <c r="S28" i="33"/>
  <c r="R28" i="33"/>
  <c r="N28" i="33"/>
  <c r="M28" i="33"/>
  <c r="L28" i="33"/>
  <c r="K28" i="33"/>
  <c r="J28" i="33"/>
  <c r="V27" i="33"/>
  <c r="U27" i="33"/>
  <c r="T27" i="33"/>
  <c r="S27" i="33"/>
  <c r="R27" i="33"/>
  <c r="N27" i="33"/>
  <c r="M27" i="33"/>
  <c r="L27" i="33"/>
  <c r="K27" i="33"/>
  <c r="J27" i="33"/>
  <c r="V26" i="33"/>
  <c r="U26" i="33"/>
  <c r="T26" i="33"/>
  <c r="S26" i="33"/>
  <c r="Y26" i="33" s="1"/>
  <c r="R26" i="33"/>
  <c r="N26" i="33"/>
  <c r="M26" i="33"/>
  <c r="L26" i="33"/>
  <c r="K26" i="33"/>
  <c r="J26" i="33"/>
  <c r="V25" i="33"/>
  <c r="U25" i="33"/>
  <c r="U38" i="33" s="1"/>
  <c r="T25" i="33"/>
  <c r="S25" i="33"/>
  <c r="R25" i="33"/>
  <c r="N25" i="33"/>
  <c r="M25" i="33"/>
  <c r="L25" i="33"/>
  <c r="K25" i="33"/>
  <c r="J25" i="33"/>
  <c r="V24" i="33"/>
  <c r="U24" i="33"/>
  <c r="T24" i="33"/>
  <c r="S24" i="33"/>
  <c r="R24" i="33"/>
  <c r="N24" i="33"/>
  <c r="M24" i="33"/>
  <c r="L24" i="33"/>
  <c r="K24" i="33"/>
  <c r="J24" i="33"/>
  <c r="V23" i="33"/>
  <c r="U23" i="33"/>
  <c r="T23" i="33"/>
  <c r="S23" i="33"/>
  <c r="R23" i="33"/>
  <c r="R36" i="33" s="1"/>
  <c r="N23" i="33"/>
  <c r="M23" i="33"/>
  <c r="L23" i="33"/>
  <c r="K23" i="33"/>
  <c r="J23" i="33"/>
  <c r="V22" i="33"/>
  <c r="V35" i="33" s="1"/>
  <c r="U22" i="33"/>
  <c r="T22" i="33"/>
  <c r="S22" i="33"/>
  <c r="R22" i="33"/>
  <c r="N22" i="33"/>
  <c r="M22" i="33"/>
  <c r="L22" i="33"/>
  <c r="K22" i="33"/>
  <c r="J22" i="33"/>
  <c r="V21" i="33"/>
  <c r="AB21" i="33" s="1"/>
  <c r="U21" i="33"/>
  <c r="T21" i="33"/>
  <c r="S21" i="33"/>
  <c r="R21" i="33"/>
  <c r="N21" i="33"/>
  <c r="M21" i="33"/>
  <c r="L21" i="33"/>
  <c r="K21" i="33"/>
  <c r="J21" i="33"/>
  <c r="V17" i="33"/>
  <c r="U17" i="33"/>
  <c r="T17" i="33"/>
  <c r="S17" i="33"/>
  <c r="R17" i="33"/>
  <c r="J17" i="33"/>
  <c r="M17" i="33" s="1"/>
  <c r="X16" i="33"/>
  <c r="AA16" i="33" s="1"/>
  <c r="V16" i="33"/>
  <c r="U16" i="33"/>
  <c r="T16" i="33"/>
  <c r="S16" i="33"/>
  <c r="R16" i="33"/>
  <c r="J16" i="33"/>
  <c r="N16" i="33" s="1"/>
  <c r="V15" i="33"/>
  <c r="U15" i="33"/>
  <c r="T15" i="33"/>
  <c r="S15" i="33"/>
  <c r="R15" i="33"/>
  <c r="J15" i="33"/>
  <c r="N15" i="33" s="1"/>
  <c r="V14" i="33"/>
  <c r="U14" i="33"/>
  <c r="T14" i="33"/>
  <c r="S14" i="33"/>
  <c r="R14" i="33"/>
  <c r="J14" i="33"/>
  <c r="M14" i="33" s="1"/>
  <c r="V13" i="33"/>
  <c r="U13" i="33"/>
  <c r="T13" i="33"/>
  <c r="S13" i="33"/>
  <c r="R13" i="33"/>
  <c r="J13" i="33"/>
  <c r="V12" i="33"/>
  <c r="U12" i="33"/>
  <c r="T12" i="33"/>
  <c r="S12" i="33"/>
  <c r="R12" i="33"/>
  <c r="J12" i="33"/>
  <c r="L12" i="33" s="1"/>
  <c r="V11" i="33"/>
  <c r="U11" i="33"/>
  <c r="T11" i="33"/>
  <c r="S11" i="33"/>
  <c r="R11" i="33"/>
  <c r="J11" i="33"/>
  <c r="L11" i="33" s="1"/>
  <c r="V10" i="33"/>
  <c r="U10" i="33"/>
  <c r="T10" i="33"/>
  <c r="S10" i="33"/>
  <c r="R10" i="33"/>
  <c r="J10" i="33"/>
  <c r="V9" i="33"/>
  <c r="U9" i="33"/>
  <c r="T9" i="33"/>
  <c r="S9" i="33"/>
  <c r="R9" i="33"/>
  <c r="N9" i="33"/>
  <c r="J9" i="33"/>
  <c r="L9" i="33" s="1"/>
  <c r="V8" i="33"/>
  <c r="U8" i="33"/>
  <c r="T8" i="33"/>
  <c r="S8" i="33"/>
  <c r="R8" i="33"/>
  <c r="J8" i="33"/>
  <c r="N8" i="33" s="1"/>
  <c r="D61" i="32" l="1"/>
  <c r="AB13" i="32"/>
  <c r="AJ55" i="32"/>
  <c r="AB17" i="32"/>
  <c r="Z17" i="32"/>
  <c r="V58" i="32"/>
  <c r="V59" i="32"/>
  <c r="L9" i="32"/>
  <c r="Z9" i="32"/>
  <c r="L45" i="32"/>
  <c r="X22" i="32"/>
  <c r="R35" i="32"/>
  <c r="R52" i="32" s="1"/>
  <c r="Y24" i="32"/>
  <c r="AB29" i="32"/>
  <c r="AB30" i="32"/>
  <c r="AK54" i="32"/>
  <c r="AK53" i="32"/>
  <c r="AK52" i="32"/>
  <c r="AK48" i="32"/>
  <c r="AK49" i="32" s="1"/>
  <c r="AK46" i="32"/>
  <c r="D59" i="32"/>
  <c r="W39" i="32"/>
  <c r="W59" i="32" s="1"/>
  <c r="W40" i="32"/>
  <c r="W41" i="32"/>
  <c r="H46" i="32"/>
  <c r="D54" i="32"/>
  <c r="D55" i="32" s="1"/>
  <c r="AA8" i="32"/>
  <c r="M9" i="32"/>
  <c r="N13" i="32"/>
  <c r="M13" i="32"/>
  <c r="M48" i="32"/>
  <c r="M49" i="32" s="1"/>
  <c r="M47" i="32"/>
  <c r="Y22" i="32"/>
  <c r="AB24" i="32"/>
  <c r="T38" i="32"/>
  <c r="AA28" i="32"/>
  <c r="X30" i="32"/>
  <c r="R43" i="32"/>
  <c r="D45" i="32"/>
  <c r="U34" i="32"/>
  <c r="D53" i="32"/>
  <c r="D48" i="32"/>
  <c r="W35" i="32"/>
  <c r="E59" i="32"/>
  <c r="E58" i="32"/>
  <c r="I45" i="32"/>
  <c r="AJ48" i="32"/>
  <c r="D58" i="32"/>
  <c r="AH59" i="32"/>
  <c r="AB48" i="32"/>
  <c r="AB47" i="32"/>
  <c r="R54" i="32"/>
  <c r="R48" i="32"/>
  <c r="R46" i="32"/>
  <c r="M10" i="32"/>
  <c r="L10" i="32"/>
  <c r="X14" i="32"/>
  <c r="L48" i="32"/>
  <c r="L49" i="32" s="1"/>
  <c r="X23" i="32"/>
  <c r="AA26" i="32"/>
  <c r="AA48" i="32" s="1"/>
  <c r="Y30" i="32"/>
  <c r="E54" i="32"/>
  <c r="E53" i="32"/>
  <c r="E52" i="32"/>
  <c r="E48" i="32"/>
  <c r="E47" i="32"/>
  <c r="V48" i="32"/>
  <c r="V46" i="32"/>
  <c r="AF46" i="32"/>
  <c r="AF53" i="32"/>
  <c r="J45" i="32"/>
  <c r="J49" i="32" s="1"/>
  <c r="L46" i="32"/>
  <c r="AF52" i="32"/>
  <c r="H58" i="32"/>
  <c r="V39" i="32"/>
  <c r="V45" i="32" s="1"/>
  <c r="AB26" i="32"/>
  <c r="U42" i="32"/>
  <c r="AB11" i="32"/>
  <c r="U59" i="32"/>
  <c r="U58" i="32"/>
  <c r="N47" i="32"/>
  <c r="AA9" i="32"/>
  <c r="N10" i="32"/>
  <c r="AB12" i="32"/>
  <c r="Z13" i="32"/>
  <c r="L14" i="32"/>
  <c r="X21" i="32"/>
  <c r="W34" i="32"/>
  <c r="AB25" i="32"/>
  <c r="R39" i="32"/>
  <c r="X28" i="32"/>
  <c r="F52" i="32"/>
  <c r="F47" i="32"/>
  <c r="F54" i="32"/>
  <c r="F55" i="32" s="1"/>
  <c r="AF47" i="32"/>
  <c r="AG58" i="32"/>
  <c r="AG59" i="32"/>
  <c r="G59" i="32"/>
  <c r="M45" i="32"/>
  <c r="AB45" i="32"/>
  <c r="M46" i="32"/>
  <c r="AB46" i="32"/>
  <c r="F48" i="32"/>
  <c r="F49" i="32" s="1"/>
  <c r="AF54" i="32"/>
  <c r="AK59" i="32"/>
  <c r="AK58" i="32"/>
  <c r="AA13" i="32"/>
  <c r="K48" i="32"/>
  <c r="K49" i="32" s="1"/>
  <c r="Y26" i="32"/>
  <c r="Y45" i="32" s="1"/>
  <c r="Y28" i="32"/>
  <c r="Y47" i="32" s="1"/>
  <c r="X29" i="32"/>
  <c r="W42" i="32"/>
  <c r="AG52" i="32"/>
  <c r="AG48" i="32"/>
  <c r="AG46" i="32"/>
  <c r="AG45" i="32"/>
  <c r="AG54" i="32"/>
  <c r="AG55" i="32" s="1"/>
  <c r="AG53" i="32"/>
  <c r="G53" i="32"/>
  <c r="G48" i="32"/>
  <c r="G49" i="32" s="1"/>
  <c r="F61" i="32"/>
  <c r="N45" i="32"/>
  <c r="AG47" i="32"/>
  <c r="R61" i="32"/>
  <c r="X8" i="32"/>
  <c r="Z8" i="32" s="1"/>
  <c r="N11" i="32"/>
  <c r="Z15" i="32"/>
  <c r="AA16" i="32"/>
  <c r="M17" i="32"/>
  <c r="T34" i="32"/>
  <c r="Z22" i="32"/>
  <c r="Z46" i="32" s="1"/>
  <c r="AA24" i="32"/>
  <c r="Z25" i="32"/>
  <c r="X27" i="32"/>
  <c r="Z28" i="32"/>
  <c r="V43" i="32"/>
  <c r="V52" i="32" s="1"/>
  <c r="H45" i="32"/>
  <c r="AH47" i="32"/>
  <c r="AH45" i="32"/>
  <c r="AH54" i="32"/>
  <c r="AH55" i="32" s="1"/>
  <c r="AH52" i="32"/>
  <c r="AH48" i="32"/>
  <c r="H48" i="32"/>
  <c r="H47" i="32"/>
  <c r="H53" i="32"/>
  <c r="I58" i="32"/>
  <c r="I59" i="32"/>
  <c r="AI59" i="32"/>
  <c r="AI58" i="32"/>
  <c r="R40" i="32"/>
  <c r="S41" i="32"/>
  <c r="R42" i="32"/>
  <c r="S43" i="32"/>
  <c r="S52" i="32" s="1"/>
  <c r="R45" i="32"/>
  <c r="AI45" i="32"/>
  <c r="D46" i="32"/>
  <c r="G47" i="32"/>
  <c r="AK47" i="32"/>
  <c r="N48" i="32"/>
  <c r="N49" i="32" s="1"/>
  <c r="R53" i="32"/>
  <c r="AJ58" i="32"/>
  <c r="AF61" i="32"/>
  <c r="AA17" i="32"/>
  <c r="T36" i="32"/>
  <c r="Z23" i="32"/>
  <c r="X10" i="32"/>
  <c r="AB10" i="32" s="1"/>
  <c r="X11" i="32"/>
  <c r="AB16" i="32"/>
  <c r="J47" i="32"/>
  <c r="J46" i="32"/>
  <c r="AA22" i="32"/>
  <c r="AA47" i="32" s="1"/>
  <c r="S36" i="32"/>
  <c r="S46" i="32" s="1"/>
  <c r="Y23" i="32"/>
  <c r="Y46" i="32" s="1"/>
  <c r="R41" i="32"/>
  <c r="T42" i="32"/>
  <c r="Z30" i="32"/>
  <c r="I52" i="32"/>
  <c r="I48" i="32"/>
  <c r="I47" i="32"/>
  <c r="I54" i="32"/>
  <c r="I53" i="32"/>
  <c r="AI54" i="32"/>
  <c r="AI53" i="32"/>
  <c r="AI52" i="32"/>
  <c r="AI48" i="32"/>
  <c r="AI49" i="32" s="1"/>
  <c r="AI47" i="32"/>
  <c r="AJ53" i="32"/>
  <c r="R36" i="32"/>
  <c r="R58" i="32"/>
  <c r="S39" i="32"/>
  <c r="S47" i="32" s="1"/>
  <c r="E45" i="32"/>
  <c r="AJ45" i="32"/>
  <c r="E46" i="32"/>
  <c r="AJ46" i="32"/>
  <c r="K47" i="32"/>
  <c r="F59" i="32"/>
  <c r="X25" i="32"/>
  <c r="Z27" i="32"/>
  <c r="G46" i="32"/>
  <c r="G54" i="32"/>
  <c r="G55" i="32" s="1"/>
  <c r="K45" i="32"/>
  <c r="M45" i="33"/>
  <c r="H59" i="33"/>
  <c r="V34" i="33"/>
  <c r="E52" i="33"/>
  <c r="Z26" i="33"/>
  <c r="J45" i="33"/>
  <c r="AN49" i="33"/>
  <c r="U39" i="33"/>
  <c r="H47" i="33"/>
  <c r="T34" i="33"/>
  <c r="U41" i="33"/>
  <c r="F54" i="33"/>
  <c r="AB25" i="33"/>
  <c r="I45" i="33"/>
  <c r="N45" i="33"/>
  <c r="M9" i="33"/>
  <c r="AA21" i="33"/>
  <c r="R39" i="33"/>
  <c r="V41" i="33"/>
  <c r="T42" i="33"/>
  <c r="S39" i="33"/>
  <c r="S58" i="33" s="1"/>
  <c r="AG61" i="33" s="1"/>
  <c r="Z25" i="33"/>
  <c r="AG54" i="33"/>
  <c r="D59" i="33"/>
  <c r="S37" i="33"/>
  <c r="AA29" i="33"/>
  <c r="AF58" i="33"/>
  <c r="I54" i="33"/>
  <c r="U34" i="33"/>
  <c r="X11" i="33"/>
  <c r="AB11" i="33" s="1"/>
  <c r="L14" i="33"/>
  <c r="N17" i="33"/>
  <c r="T37" i="33"/>
  <c r="R38" i="33"/>
  <c r="R58" i="33" s="1"/>
  <c r="X26" i="33"/>
  <c r="X27" i="33"/>
  <c r="AP49" i="33"/>
  <c r="D58" i="33"/>
  <c r="G45" i="33"/>
  <c r="AM49" i="33"/>
  <c r="L17" i="33"/>
  <c r="W43" i="33"/>
  <c r="H54" i="33"/>
  <c r="N47" i="33"/>
  <c r="M47" i="33"/>
  <c r="M11" i="33"/>
  <c r="M12" i="33"/>
  <c r="N14" i="33"/>
  <c r="M46" i="33"/>
  <c r="T40" i="33"/>
  <c r="V43" i="33"/>
  <c r="H58" i="33"/>
  <c r="R37" i="33"/>
  <c r="V40" i="33"/>
  <c r="X17" i="33"/>
  <c r="S40" i="33"/>
  <c r="G59" i="33"/>
  <c r="N11" i="33"/>
  <c r="N12" i="33"/>
  <c r="L46" i="33"/>
  <c r="S35" i="33"/>
  <c r="U40" i="33"/>
  <c r="AB30" i="33"/>
  <c r="AF52" i="33"/>
  <c r="AB24" i="33"/>
  <c r="V37" i="33"/>
  <c r="T41" i="33"/>
  <c r="Z28" i="33"/>
  <c r="Z16" i="33"/>
  <c r="Z22" i="33"/>
  <c r="X24" i="33"/>
  <c r="T35" i="33"/>
  <c r="X9" i="33"/>
  <c r="AB9" i="33" s="1"/>
  <c r="R35" i="33"/>
  <c r="AA22" i="33"/>
  <c r="U35" i="33"/>
  <c r="Y24" i="33"/>
  <c r="Y29" i="33"/>
  <c r="S42" i="33"/>
  <c r="AB29" i="33"/>
  <c r="G47" i="33"/>
  <c r="G48" i="33"/>
  <c r="X8" i="33"/>
  <c r="T39" i="33"/>
  <c r="X14" i="33"/>
  <c r="Y21" i="33"/>
  <c r="S34" i="33"/>
  <c r="T36" i="33"/>
  <c r="Z23" i="33"/>
  <c r="Y23" i="33"/>
  <c r="W36" i="33"/>
  <c r="X23" i="33"/>
  <c r="Z29" i="33"/>
  <c r="E54" i="33"/>
  <c r="E55" i="33" s="1"/>
  <c r="E46" i="33"/>
  <c r="E45" i="33"/>
  <c r="E53" i="33"/>
  <c r="E47" i="33"/>
  <c r="R40" i="33"/>
  <c r="W41" i="33"/>
  <c r="L8" i="33"/>
  <c r="F45" i="33"/>
  <c r="F53" i="33"/>
  <c r="F52" i="33"/>
  <c r="F47" i="33"/>
  <c r="Y22" i="33"/>
  <c r="X22" i="33"/>
  <c r="AB27" i="33"/>
  <c r="S36" i="33"/>
  <c r="X10" i="33"/>
  <c r="AB10" i="33" s="1"/>
  <c r="M13" i="33"/>
  <c r="N13" i="33"/>
  <c r="L13" i="33"/>
  <c r="L16" i="33"/>
  <c r="L48" i="33"/>
  <c r="AK54" i="33"/>
  <c r="AK53" i="33"/>
  <c r="AK46" i="33"/>
  <c r="AK45" i="33"/>
  <c r="H45" i="33"/>
  <c r="M16" i="33"/>
  <c r="M48" i="33"/>
  <c r="M49" i="33" s="1"/>
  <c r="X15" i="33"/>
  <c r="AA15" i="33" s="1"/>
  <c r="R34" i="33"/>
  <c r="X21" i="33"/>
  <c r="W34" i="33"/>
  <c r="AA28" i="33"/>
  <c r="D47" i="33"/>
  <c r="D54" i="33"/>
  <c r="D46" i="33"/>
  <c r="D45" i="33"/>
  <c r="D53" i="33"/>
  <c r="D52" i="33"/>
  <c r="AG52" i="33"/>
  <c r="AG48" i="33"/>
  <c r="AG45" i="33"/>
  <c r="AG53" i="33"/>
  <c r="L47" i="33"/>
  <c r="AB22" i="33"/>
  <c r="AB28" i="33"/>
  <c r="AK48" i="33"/>
  <c r="Z11" i="33"/>
  <c r="Y27" i="33"/>
  <c r="I46" i="33"/>
  <c r="AI59" i="33"/>
  <c r="I58" i="33"/>
  <c r="I59" i="33"/>
  <c r="W40" i="33"/>
  <c r="F46" i="33"/>
  <c r="AI47" i="33"/>
  <c r="D48" i="33"/>
  <c r="G54" i="33"/>
  <c r="M8" i="33"/>
  <c r="Z27" i="33"/>
  <c r="X28" i="33"/>
  <c r="R41" i="33"/>
  <c r="X30" i="33"/>
  <c r="Y30" i="33"/>
  <c r="G53" i="33"/>
  <c r="AJ46" i="33"/>
  <c r="AJ59" i="33"/>
  <c r="AF59" i="33"/>
  <c r="G46" i="33"/>
  <c r="AJ47" i="33"/>
  <c r="E48" i="33"/>
  <c r="G61" i="33"/>
  <c r="N10" i="33"/>
  <c r="L10" i="33"/>
  <c r="M10" i="33"/>
  <c r="X13" i="33"/>
  <c r="Z13" i="33" s="1"/>
  <c r="AA24" i="33"/>
  <c r="Z24" i="33"/>
  <c r="W37" i="33"/>
  <c r="U37" i="33"/>
  <c r="N48" i="33"/>
  <c r="N46" i="33"/>
  <c r="V39" i="33"/>
  <c r="AA27" i="33"/>
  <c r="Y28" i="33"/>
  <c r="S41" i="33"/>
  <c r="AF46" i="33"/>
  <c r="AF54" i="33"/>
  <c r="AF53" i="33"/>
  <c r="AF45" i="33"/>
  <c r="AK47" i="33"/>
  <c r="F48" i="33"/>
  <c r="AK52" i="33"/>
  <c r="H61" i="33"/>
  <c r="AG47" i="33"/>
  <c r="H48" i="33"/>
  <c r="AK58" i="33"/>
  <c r="AK59" i="33"/>
  <c r="H46" i="33"/>
  <c r="X12" i="33"/>
  <c r="Z12" i="33" s="1"/>
  <c r="AB16" i="33"/>
  <c r="U36" i="33"/>
  <c r="AA23" i="33"/>
  <c r="Z30" i="33"/>
  <c r="AH47" i="33"/>
  <c r="J48" i="33"/>
  <c r="J46" i="33"/>
  <c r="J47" i="33"/>
  <c r="V36" i="33"/>
  <c r="AB23" i="33"/>
  <c r="W39" i="33"/>
  <c r="AB26" i="33"/>
  <c r="AI46" i="33"/>
  <c r="AI45" i="33"/>
  <c r="AI54" i="33"/>
  <c r="AH54" i="33"/>
  <c r="Z21" i="33"/>
  <c r="H52" i="33"/>
  <c r="U59" i="33"/>
  <c r="AH48" i="33"/>
  <c r="AH52" i="33"/>
  <c r="X25" i="33"/>
  <c r="AA26" i="33"/>
  <c r="AA30" i="33"/>
  <c r="U43" i="33"/>
  <c r="I48" i="33"/>
  <c r="I49" i="33" s="1"/>
  <c r="I52" i="33"/>
  <c r="I55" i="33" s="1"/>
  <c r="I47" i="33"/>
  <c r="E58" i="33"/>
  <c r="E61" i="33" s="1"/>
  <c r="E59" i="33"/>
  <c r="V38" i="33"/>
  <c r="AI48" i="33"/>
  <c r="AI52" i="33"/>
  <c r="AB8" i="33"/>
  <c r="K48" i="33"/>
  <c r="W35" i="33"/>
  <c r="Y25" i="33"/>
  <c r="R42" i="33"/>
  <c r="X29" i="33"/>
  <c r="W42" i="33"/>
  <c r="AJ45" i="33"/>
  <c r="AJ54" i="33"/>
  <c r="AJ53" i="33"/>
  <c r="F59" i="33"/>
  <c r="F58" i="33"/>
  <c r="F61" i="33" s="1"/>
  <c r="R43" i="33"/>
  <c r="AJ48" i="33"/>
  <c r="AJ52" i="33"/>
  <c r="AH53" i="33"/>
  <c r="U58" i="33"/>
  <c r="U61" i="33" s="1"/>
  <c r="AG59" i="33"/>
  <c r="AA25" i="33"/>
  <c r="W38" i="33"/>
  <c r="L15" i="33"/>
  <c r="L45" i="33"/>
  <c r="AH45" i="33"/>
  <c r="K46" i="33"/>
  <c r="AG46" i="33"/>
  <c r="AF47" i="33"/>
  <c r="G52" i="33"/>
  <c r="G58" i="33"/>
  <c r="K45" i="33"/>
  <c r="M15" i="33"/>
  <c r="AH46" i="33"/>
  <c r="K47" i="33"/>
  <c r="AF48" i="33"/>
  <c r="AA49" i="32" l="1"/>
  <c r="T48" i="32"/>
  <c r="T53" i="32"/>
  <c r="T47" i="32"/>
  <c r="T46" i="32"/>
  <c r="T45" i="32"/>
  <c r="T54" i="32"/>
  <c r="T52" i="32"/>
  <c r="S53" i="32"/>
  <c r="AI55" i="32"/>
  <c r="E49" i="32"/>
  <c r="S48" i="32"/>
  <c r="Z10" i="32"/>
  <c r="H49" i="32"/>
  <c r="I61" i="32"/>
  <c r="W61" i="32"/>
  <c r="I55" i="32"/>
  <c r="S54" i="32"/>
  <c r="S55" i="32" s="1"/>
  <c r="R47" i="32"/>
  <c r="U61" i="32"/>
  <c r="AI61" i="32"/>
  <c r="G61" i="32"/>
  <c r="AF55" i="32"/>
  <c r="E61" i="32"/>
  <c r="W53" i="32"/>
  <c r="W47" i="32"/>
  <c r="W52" i="32"/>
  <c r="W45" i="32"/>
  <c r="W54" i="32"/>
  <c r="W55" i="32" s="1"/>
  <c r="W48" i="32"/>
  <c r="W49" i="32" s="1"/>
  <c r="W46" i="32"/>
  <c r="E55" i="32"/>
  <c r="AB8" i="32"/>
  <c r="Y48" i="32"/>
  <c r="Y49" i="32" s="1"/>
  <c r="W58" i="32"/>
  <c r="AK61" i="32" s="1"/>
  <c r="AA10" i="32"/>
  <c r="AA46" i="32"/>
  <c r="V61" i="32"/>
  <c r="AJ61" i="32"/>
  <c r="H61" i="32"/>
  <c r="AA11" i="32"/>
  <c r="Z11" i="32"/>
  <c r="S58" i="32"/>
  <c r="S61" i="32" s="1"/>
  <c r="AB14" i="32"/>
  <c r="AA14" i="32"/>
  <c r="Z48" i="32"/>
  <c r="Z49" i="32" s="1"/>
  <c r="AG49" i="32"/>
  <c r="R59" i="32"/>
  <c r="S59" i="32"/>
  <c r="AB49" i="32"/>
  <c r="T59" i="32"/>
  <c r="T58" i="32"/>
  <c r="V47" i="32"/>
  <c r="V53" i="32"/>
  <c r="AH49" i="32"/>
  <c r="Z14" i="32"/>
  <c r="V54" i="32"/>
  <c r="V55" i="32" s="1"/>
  <c r="D49" i="32"/>
  <c r="I49" i="32"/>
  <c r="X48" i="32"/>
  <c r="X49" i="32" s="1"/>
  <c r="X47" i="32"/>
  <c r="X46" i="32"/>
  <c r="X45" i="32"/>
  <c r="AJ49" i="32"/>
  <c r="U54" i="32"/>
  <c r="U53" i="32"/>
  <c r="U47" i="32"/>
  <c r="U46" i="32"/>
  <c r="U52" i="32"/>
  <c r="U48" i="32"/>
  <c r="U49" i="32" s="1"/>
  <c r="U45" i="32"/>
  <c r="AK55" i="32"/>
  <c r="S45" i="32"/>
  <c r="Z45" i="32"/>
  <c r="AA45" i="32"/>
  <c r="V49" i="32"/>
  <c r="R49" i="32"/>
  <c r="Z47" i="32"/>
  <c r="R55" i="32"/>
  <c r="AG55" i="33"/>
  <c r="AJ49" i="33"/>
  <c r="AI55" i="33"/>
  <c r="D61" i="33"/>
  <c r="J49" i="33"/>
  <c r="AA11" i="33"/>
  <c r="G49" i="33"/>
  <c r="AF61" i="33"/>
  <c r="N49" i="33"/>
  <c r="F55" i="33"/>
  <c r="T48" i="33"/>
  <c r="T53" i="33"/>
  <c r="R59" i="33"/>
  <c r="T54" i="33"/>
  <c r="H55" i="33"/>
  <c r="AF55" i="33"/>
  <c r="U54" i="33"/>
  <c r="G55" i="33"/>
  <c r="AI61" i="33"/>
  <c r="T59" i="33"/>
  <c r="U52" i="33"/>
  <c r="AA17" i="33"/>
  <c r="Z17" i="33"/>
  <c r="V48" i="33"/>
  <c r="T52" i="33"/>
  <c r="AA47" i="33"/>
  <c r="AB47" i="33"/>
  <c r="V53" i="33"/>
  <c r="AA13" i="33"/>
  <c r="S61" i="33"/>
  <c r="AH55" i="33"/>
  <c r="S59" i="33"/>
  <c r="E49" i="33"/>
  <c r="Z9" i="33"/>
  <c r="AB17" i="33"/>
  <c r="V59" i="33"/>
  <c r="V58" i="33"/>
  <c r="S54" i="33"/>
  <c r="S55" i="33" s="1"/>
  <c r="S48" i="33"/>
  <c r="S53" i="33"/>
  <c r="S45" i="33"/>
  <c r="S47" i="33"/>
  <c r="S46" i="33"/>
  <c r="S52" i="33"/>
  <c r="U45" i="33"/>
  <c r="U46" i="33"/>
  <c r="F49" i="33"/>
  <c r="AA14" i="33"/>
  <c r="AB14" i="33"/>
  <c r="U47" i="33"/>
  <c r="W59" i="33"/>
  <c r="W58" i="33"/>
  <c r="AK61" i="33" s="1"/>
  <c r="AH49" i="33"/>
  <c r="D49" i="33"/>
  <c r="Z15" i="33"/>
  <c r="Z14" i="33"/>
  <c r="U53" i="33"/>
  <c r="AB46" i="33"/>
  <c r="U48" i="33"/>
  <c r="AB15" i="33"/>
  <c r="AA48" i="33"/>
  <c r="T45" i="33"/>
  <c r="T49" i="33" s="1"/>
  <c r="AF49" i="33"/>
  <c r="R61" i="33"/>
  <c r="Z47" i="33"/>
  <c r="Z48" i="33"/>
  <c r="Z45" i="33"/>
  <c r="Z46" i="33"/>
  <c r="H49" i="33"/>
  <c r="AA45" i="33"/>
  <c r="AG49" i="33"/>
  <c r="AK55" i="33"/>
  <c r="AA10" i="33"/>
  <c r="AA8" i="33"/>
  <c r="Z8" i="33"/>
  <c r="AB48" i="33"/>
  <c r="Z10" i="33"/>
  <c r="AA12" i="33"/>
  <c r="AB12" i="33"/>
  <c r="X46" i="33"/>
  <c r="X45" i="33"/>
  <c r="X47" i="33"/>
  <c r="X48" i="33"/>
  <c r="V54" i="33"/>
  <c r="R54" i="33"/>
  <c r="R55" i="33" s="1"/>
  <c r="R46" i="33"/>
  <c r="R45" i="33"/>
  <c r="R53" i="33"/>
  <c r="R48" i="33"/>
  <c r="R52" i="33"/>
  <c r="R47" i="33"/>
  <c r="Y45" i="33"/>
  <c r="Y47" i="33"/>
  <c r="Y48" i="33"/>
  <c r="Y49" i="33" s="1"/>
  <c r="Y46" i="33"/>
  <c r="V45" i="33"/>
  <c r="V49" i="33" s="1"/>
  <c r="K49" i="33"/>
  <c r="V46" i="33"/>
  <c r="AJ55" i="33"/>
  <c r="V52" i="33"/>
  <c r="D55" i="33"/>
  <c r="AA9" i="33"/>
  <c r="AA46" i="33"/>
  <c r="T46" i="33"/>
  <c r="V47" i="33"/>
  <c r="T58" i="33"/>
  <c r="I61" i="33"/>
  <c r="W61" i="33"/>
  <c r="AB45" i="33"/>
  <c r="AB13" i="33"/>
  <c r="AI49" i="33"/>
  <c r="AK49" i="33"/>
  <c r="W53" i="33"/>
  <c r="W47" i="33"/>
  <c r="W46" i="33"/>
  <c r="W52" i="33"/>
  <c r="W45" i="33"/>
  <c r="W54" i="33"/>
  <c r="W55" i="33" s="1"/>
  <c r="W48" i="33"/>
  <c r="W49" i="33" s="1"/>
  <c r="L49" i="33"/>
  <c r="T47" i="33"/>
  <c r="T61" i="32" l="1"/>
  <c r="AH61" i="32"/>
  <c r="T55" i="32"/>
  <c r="U55" i="32"/>
  <c r="S49" i="32"/>
  <c r="AG61" i="32"/>
  <c r="T49" i="32"/>
  <c r="T55" i="33"/>
  <c r="U55" i="33"/>
  <c r="X49" i="33"/>
  <c r="S49" i="33"/>
  <c r="AA49" i="33"/>
  <c r="U49" i="33"/>
  <c r="T61" i="33"/>
  <c r="AH61" i="33"/>
  <c r="Z49" i="33"/>
  <c r="V55" i="33"/>
  <c r="AB49" i="33"/>
  <c r="AJ61" i="33"/>
  <c r="V61" i="33"/>
  <c r="R49" i="33"/>
  <c r="B121" i="30" l="1"/>
  <c r="C120" i="30"/>
  <c r="C115" i="30"/>
  <c r="B115" i="30"/>
  <c r="D115" i="30" s="1"/>
  <c r="B106" i="30"/>
  <c r="B104" i="30"/>
  <c r="C102" i="30"/>
  <c r="C93" i="30"/>
  <c r="B91" i="30"/>
  <c r="B90" i="30"/>
  <c r="B89" i="30"/>
  <c r="I89" i="30" s="1"/>
  <c r="D79" i="30"/>
  <c r="C79" i="30"/>
  <c r="B79" i="30"/>
  <c r="D78" i="30"/>
  <c r="C78" i="30"/>
  <c r="B78" i="30"/>
  <c r="D77" i="30"/>
  <c r="C77" i="30"/>
  <c r="C122" i="30" s="1"/>
  <c r="B77" i="30"/>
  <c r="B122" i="30" s="1"/>
  <c r="D76" i="30"/>
  <c r="D80" i="30" s="1"/>
  <c r="C76" i="30"/>
  <c r="B76" i="30"/>
  <c r="D73" i="30"/>
  <c r="C73" i="30"/>
  <c r="C74" i="30" s="1"/>
  <c r="B73" i="30"/>
  <c r="H72" i="30"/>
  <c r="L131" i="30" s="1"/>
  <c r="G72" i="30"/>
  <c r="I128" i="30" s="1"/>
  <c r="D72" i="30"/>
  <c r="C72" i="30"/>
  <c r="B72" i="30"/>
  <c r="H71" i="30"/>
  <c r="K134" i="30" s="1"/>
  <c r="G71" i="30"/>
  <c r="H135" i="30" s="1"/>
  <c r="D71" i="30"/>
  <c r="C71" i="30"/>
  <c r="B71" i="30"/>
  <c r="H70" i="30"/>
  <c r="G70" i="30"/>
  <c r="G130" i="30" s="1"/>
  <c r="D70" i="30"/>
  <c r="C70" i="30"/>
  <c r="B70" i="30"/>
  <c r="I69" i="30"/>
  <c r="H69" i="30"/>
  <c r="G69" i="30"/>
  <c r="I68" i="30"/>
  <c r="H68" i="30"/>
  <c r="G68" i="30"/>
  <c r="D67" i="30"/>
  <c r="C67" i="30"/>
  <c r="C68" i="30" s="1"/>
  <c r="B67" i="30"/>
  <c r="D66" i="30"/>
  <c r="C66" i="30"/>
  <c r="B66" i="30"/>
  <c r="D65" i="30"/>
  <c r="C65" i="30"/>
  <c r="B65" i="30"/>
  <c r="L64" i="30"/>
  <c r="I64" i="30"/>
  <c r="H64" i="30"/>
  <c r="G64" i="30"/>
  <c r="D64" i="30"/>
  <c r="C64" i="30"/>
  <c r="B64" i="30"/>
  <c r="D59" i="30"/>
  <c r="C59" i="30"/>
  <c r="B59" i="30"/>
  <c r="D58" i="30"/>
  <c r="C58" i="30"/>
  <c r="B58" i="30"/>
  <c r="D57" i="30"/>
  <c r="C57" i="30"/>
  <c r="B57" i="30"/>
  <c r="D56" i="30"/>
  <c r="C56" i="30"/>
  <c r="B56" i="30"/>
  <c r="D55" i="30"/>
  <c r="C55" i="30"/>
  <c r="B55" i="30"/>
  <c r="D54" i="30"/>
  <c r="C54" i="30"/>
  <c r="B54" i="30"/>
  <c r="D53" i="30"/>
  <c r="C53" i="30"/>
  <c r="B53" i="30"/>
  <c r="D52" i="30"/>
  <c r="C52" i="30"/>
  <c r="B52" i="30"/>
  <c r="D51" i="30"/>
  <c r="C51" i="30"/>
  <c r="B51" i="30"/>
  <c r="D50" i="30"/>
  <c r="C50" i="30"/>
  <c r="B50" i="30"/>
  <c r="D49" i="30"/>
  <c r="C49" i="30"/>
  <c r="B49" i="30"/>
  <c r="D48" i="30"/>
  <c r="C48" i="30"/>
  <c r="B48" i="30"/>
  <c r="D47" i="30"/>
  <c r="C47" i="30"/>
  <c r="B47" i="30"/>
  <c r="D46" i="30"/>
  <c r="C46" i="30"/>
  <c r="B46" i="30"/>
  <c r="D45" i="30"/>
  <c r="C45" i="30"/>
  <c r="B45" i="30"/>
  <c r="D44" i="30"/>
  <c r="C44" i="30"/>
  <c r="B44" i="30"/>
  <c r="D43" i="30"/>
  <c r="C43" i="30"/>
  <c r="B43" i="30"/>
  <c r="D42" i="30"/>
  <c r="C42" i="30"/>
  <c r="B42" i="30"/>
  <c r="D41" i="30"/>
  <c r="C41" i="30"/>
  <c r="B41" i="30"/>
  <c r="D40" i="30"/>
  <c r="C40" i="30"/>
  <c r="B40" i="30"/>
  <c r="D39" i="30"/>
  <c r="C39" i="30"/>
  <c r="B39" i="30"/>
  <c r="D38" i="30"/>
  <c r="C38" i="30"/>
  <c r="B38" i="30"/>
  <c r="D37" i="30"/>
  <c r="C37" i="30"/>
  <c r="B37" i="30"/>
  <c r="D36" i="30"/>
  <c r="C36" i="30"/>
  <c r="B36" i="30"/>
  <c r="D35" i="30"/>
  <c r="C35" i="30"/>
  <c r="B35" i="30"/>
  <c r="K93" i="30" l="1"/>
  <c r="K128" i="30"/>
  <c r="K122" i="30"/>
  <c r="B86" i="30"/>
  <c r="G86" i="30" s="1"/>
  <c r="B101" i="30"/>
  <c r="B117" i="30"/>
  <c r="H117" i="30" s="1"/>
  <c r="K132" i="30"/>
  <c r="B100" i="30"/>
  <c r="G100" i="30" s="1"/>
  <c r="K115" i="30"/>
  <c r="H129" i="30"/>
  <c r="B68" i="30"/>
  <c r="C87" i="30"/>
  <c r="B102" i="30"/>
  <c r="H102" i="30" s="1"/>
  <c r="G133" i="30"/>
  <c r="K120" i="30"/>
  <c r="G134" i="30"/>
  <c r="D74" i="30"/>
  <c r="G90" i="30"/>
  <c r="G136" i="30"/>
  <c r="C90" i="30"/>
  <c r="K90" i="30" s="1"/>
  <c r="C105" i="30"/>
  <c r="K105" i="30" s="1"/>
  <c r="B124" i="30"/>
  <c r="H136" i="30"/>
  <c r="P136" i="30" s="1"/>
  <c r="G128" i="30"/>
  <c r="G138" i="30"/>
  <c r="D102" i="30"/>
  <c r="G102" i="30"/>
  <c r="H106" i="30"/>
  <c r="I115" i="30"/>
  <c r="D121" i="30"/>
  <c r="D124" i="30"/>
  <c r="H130" i="30"/>
  <c r="H133" i="30"/>
  <c r="K136" i="30"/>
  <c r="B74" i="30"/>
  <c r="D122" i="30"/>
  <c r="B94" i="30"/>
  <c r="D94" i="30" s="1"/>
  <c r="C100" i="30"/>
  <c r="K100" i="30" s="1"/>
  <c r="C106" i="30"/>
  <c r="J106" i="30" s="1"/>
  <c r="B109" i="30"/>
  <c r="B116" i="30"/>
  <c r="B119" i="30"/>
  <c r="C121" i="30"/>
  <c r="K121" i="30" s="1"/>
  <c r="C124" i="30"/>
  <c r="K124" i="30" s="1"/>
  <c r="K130" i="30"/>
  <c r="I133" i="30"/>
  <c r="G137" i="30"/>
  <c r="J90" i="30"/>
  <c r="C94" i="30"/>
  <c r="K94" i="30" s="1"/>
  <c r="C109" i="30"/>
  <c r="K109" i="30" s="1"/>
  <c r="C116" i="30"/>
  <c r="L116" i="30" s="1"/>
  <c r="C119" i="30"/>
  <c r="H122" i="30"/>
  <c r="K131" i="30"/>
  <c r="H137" i="30"/>
  <c r="C86" i="30"/>
  <c r="D86" i="30" s="1"/>
  <c r="C89" i="30"/>
  <c r="K89" i="30" s="1"/>
  <c r="C104" i="30"/>
  <c r="K104" i="30" s="1"/>
  <c r="J122" i="30"/>
  <c r="H89" i="30"/>
  <c r="C91" i="30"/>
  <c r="K91" i="30" s="1"/>
  <c r="B95" i="30"/>
  <c r="I95" i="30" s="1"/>
  <c r="G101" i="30"/>
  <c r="B108" i="30"/>
  <c r="B110" i="30"/>
  <c r="H110" i="30" s="1"/>
  <c r="C117" i="30"/>
  <c r="L117" i="30" s="1"/>
  <c r="B123" i="30"/>
  <c r="G123" i="30" s="1"/>
  <c r="H128" i="30"/>
  <c r="G132" i="30"/>
  <c r="H138" i="30"/>
  <c r="I117" i="30"/>
  <c r="D68" i="30"/>
  <c r="H91" i="30"/>
  <c r="C101" i="30"/>
  <c r="K101" i="30" s="1"/>
  <c r="G106" i="30"/>
  <c r="H134" i="30"/>
  <c r="B87" i="30"/>
  <c r="I87" i="30" s="1"/>
  <c r="B93" i="30"/>
  <c r="D93" i="30" s="1"/>
  <c r="C95" i="30"/>
  <c r="L95" i="30" s="1"/>
  <c r="B105" i="30"/>
  <c r="G105" i="30" s="1"/>
  <c r="C108" i="30"/>
  <c r="K108" i="30" s="1"/>
  <c r="C110" i="30"/>
  <c r="K110" i="30" s="1"/>
  <c r="G117" i="30"/>
  <c r="B120" i="30"/>
  <c r="D120" i="30" s="1"/>
  <c r="C123" i="30"/>
  <c r="K123" i="30" s="1"/>
  <c r="H132" i="30"/>
  <c r="K135" i="30"/>
  <c r="K138" i="30"/>
  <c r="I124" i="30"/>
  <c r="I116" i="30"/>
  <c r="I105" i="30"/>
  <c r="I101" i="30"/>
  <c r="I90" i="30"/>
  <c r="I121" i="30"/>
  <c r="I138" i="30"/>
  <c r="I134" i="30"/>
  <c r="I130" i="30"/>
  <c r="I135" i="30"/>
  <c r="I136" i="30"/>
  <c r="I119" i="30"/>
  <c r="I106" i="30"/>
  <c r="I137" i="30"/>
  <c r="I131" i="30"/>
  <c r="I123" i="30"/>
  <c r="I129" i="30"/>
  <c r="I102" i="30"/>
  <c r="I132" i="30"/>
  <c r="B80" i="30"/>
  <c r="J89" i="30"/>
  <c r="D91" i="30"/>
  <c r="H121" i="30"/>
  <c r="J135" i="30"/>
  <c r="L137" i="30"/>
  <c r="L133" i="30"/>
  <c r="L129" i="30"/>
  <c r="L132" i="30"/>
  <c r="L122" i="30"/>
  <c r="L103" i="30"/>
  <c r="L136" i="30"/>
  <c r="L128" i="30"/>
  <c r="L115" i="30"/>
  <c r="L93" i="30"/>
  <c r="L87" i="30"/>
  <c r="L124" i="30"/>
  <c r="L105" i="30"/>
  <c r="L102" i="30"/>
  <c r="L138" i="30"/>
  <c r="L134" i="30"/>
  <c r="L120" i="30"/>
  <c r="L130" i="30"/>
  <c r="L121" i="30"/>
  <c r="L135" i="30"/>
  <c r="C80" i="30"/>
  <c r="I91" i="30"/>
  <c r="L94" i="30"/>
  <c r="P133" i="30"/>
  <c r="M133" i="30"/>
  <c r="J138" i="30"/>
  <c r="Q138" i="30" s="1"/>
  <c r="J134" i="30"/>
  <c r="J130" i="30"/>
  <c r="J121" i="30"/>
  <c r="J102" i="30"/>
  <c r="J91" i="30"/>
  <c r="J87" i="30"/>
  <c r="J137" i="30"/>
  <c r="M137" i="30" s="1"/>
  <c r="J133" i="30"/>
  <c r="J129" i="30"/>
  <c r="J136" i="30"/>
  <c r="J120" i="30"/>
  <c r="J116" i="30"/>
  <c r="J94" i="30"/>
  <c r="J131" i="30"/>
  <c r="Q131" i="30" s="1"/>
  <c r="J132" i="30"/>
  <c r="J115" i="30"/>
  <c r="Q115" i="30" s="1"/>
  <c r="J109" i="30"/>
  <c r="J93" i="30"/>
  <c r="J124" i="30"/>
  <c r="J105" i="30"/>
  <c r="J128" i="30"/>
  <c r="Q128" i="30" s="1"/>
  <c r="J86" i="30"/>
  <c r="D105" i="30"/>
  <c r="J108" i="30"/>
  <c r="L91" i="30"/>
  <c r="I104" i="30"/>
  <c r="H115" i="30"/>
  <c r="I122" i="30"/>
  <c r="H119" i="30"/>
  <c r="G91" i="30"/>
  <c r="G116" i="30"/>
  <c r="G119" i="30"/>
  <c r="G115" i="30"/>
  <c r="G104" i="30"/>
  <c r="G89" i="30"/>
  <c r="G124" i="30"/>
  <c r="G135" i="30"/>
  <c r="G131" i="30"/>
  <c r="M131" i="30" s="1"/>
  <c r="H104" i="30"/>
  <c r="G121" i="30"/>
  <c r="G122" i="30"/>
  <c r="G129" i="30"/>
  <c r="H86" i="30"/>
  <c r="B88" i="30"/>
  <c r="I88" i="30" s="1"/>
  <c r="H90" i="30"/>
  <c r="P90" i="30" s="1"/>
  <c r="B92" i="30"/>
  <c r="B96" i="30"/>
  <c r="H101" i="30"/>
  <c r="B103" i="30"/>
  <c r="H105" i="30"/>
  <c r="B107" i="30"/>
  <c r="G107" i="30" s="1"/>
  <c r="B114" i="30"/>
  <c r="H116" i="30"/>
  <c r="B118" i="30"/>
  <c r="H124" i="30"/>
  <c r="K129" i="30"/>
  <c r="K133" i="30"/>
  <c r="K137" i="30"/>
  <c r="K87" i="30"/>
  <c r="C88" i="30"/>
  <c r="K88" i="30" s="1"/>
  <c r="C92" i="30"/>
  <c r="K92" i="30" s="1"/>
  <c r="C96" i="30"/>
  <c r="K96" i="30" s="1"/>
  <c r="K102" i="30"/>
  <c r="C103" i="30"/>
  <c r="K103" i="30" s="1"/>
  <c r="C107" i="30"/>
  <c r="K107" i="30" s="1"/>
  <c r="C114" i="30"/>
  <c r="K114" i="30" s="1"/>
  <c r="K117" i="30"/>
  <c r="C118" i="30"/>
  <c r="K118" i="30" s="1"/>
  <c r="H131" i="30"/>
  <c r="Q87" i="30" l="1"/>
  <c r="P135" i="30"/>
  <c r="H100" i="30"/>
  <c r="P100" i="30" s="1"/>
  <c r="V100" i="30" s="1"/>
  <c r="G93" i="30"/>
  <c r="G88" i="30"/>
  <c r="Q93" i="30"/>
  <c r="Q102" i="30"/>
  <c r="L110" i="30"/>
  <c r="L90" i="30"/>
  <c r="I120" i="30"/>
  <c r="P137" i="30"/>
  <c r="L86" i="30"/>
  <c r="Q122" i="30"/>
  <c r="R90" i="30"/>
  <c r="R133" i="30"/>
  <c r="L107" i="30"/>
  <c r="J95" i="30"/>
  <c r="K95" i="30"/>
  <c r="K86" i="30"/>
  <c r="Q86" i="30" s="1"/>
  <c r="Q130" i="30"/>
  <c r="I100" i="30"/>
  <c r="J123" i="30"/>
  <c r="D90" i="30"/>
  <c r="J103" i="30"/>
  <c r="Q103" i="30" s="1"/>
  <c r="H120" i="30"/>
  <c r="G120" i="30"/>
  <c r="Q132" i="30"/>
  <c r="Q133" i="30"/>
  <c r="Q134" i="30"/>
  <c r="I86" i="30"/>
  <c r="M86" i="30" s="1"/>
  <c r="P105" i="30"/>
  <c r="R105" i="30" s="1"/>
  <c r="Q90" i="30"/>
  <c r="M130" i="30"/>
  <c r="D109" i="30"/>
  <c r="G109" i="30"/>
  <c r="M138" i="30"/>
  <c r="M117" i="30"/>
  <c r="M129" i="30"/>
  <c r="K119" i="30"/>
  <c r="L119" i="30"/>
  <c r="H94" i="30"/>
  <c r="G110" i="30"/>
  <c r="L106" i="30"/>
  <c r="Q106" i="30" s="1"/>
  <c r="I110" i="30"/>
  <c r="D106" i="30"/>
  <c r="K106" i="30"/>
  <c r="D119" i="30"/>
  <c r="P104" i="30"/>
  <c r="J104" i="30"/>
  <c r="Q104" i="30" s="1"/>
  <c r="J110" i="30"/>
  <c r="Q110" i="30" s="1"/>
  <c r="L89" i="30"/>
  <c r="M89" i="30" s="1"/>
  <c r="M105" i="30"/>
  <c r="L109" i="30"/>
  <c r="Q109" i="30" s="1"/>
  <c r="D110" i="30"/>
  <c r="M132" i="30"/>
  <c r="H93" i="30"/>
  <c r="M93" i="30" s="1"/>
  <c r="I93" i="30"/>
  <c r="P93" i="30" s="1"/>
  <c r="D104" i="30"/>
  <c r="P117" i="30"/>
  <c r="V117" i="30" s="1"/>
  <c r="Q120" i="30"/>
  <c r="D100" i="30"/>
  <c r="Q135" i="30"/>
  <c r="Q136" i="30"/>
  <c r="R136" i="30" s="1"/>
  <c r="I108" i="30"/>
  <c r="H108" i="30"/>
  <c r="D89" i="30"/>
  <c r="G94" i="30"/>
  <c r="M90" i="30"/>
  <c r="L108" i="30"/>
  <c r="Q108" i="30" s="1"/>
  <c r="D87" i="30"/>
  <c r="H87" i="30"/>
  <c r="G87" i="30"/>
  <c r="D95" i="30"/>
  <c r="H95" i="30"/>
  <c r="G95" i="30"/>
  <c r="D101" i="30"/>
  <c r="M135" i="30"/>
  <c r="Q91" i="30"/>
  <c r="D123" i="30"/>
  <c r="H123" i="30"/>
  <c r="J119" i="30"/>
  <c r="Q119" i="30" s="1"/>
  <c r="I109" i="30"/>
  <c r="D117" i="30"/>
  <c r="K116" i="30"/>
  <c r="Q116" i="30" s="1"/>
  <c r="D108" i="30"/>
  <c r="H109" i="30"/>
  <c r="L101" i="30"/>
  <c r="J117" i="30"/>
  <c r="Q117" i="30" s="1"/>
  <c r="R117" i="30" s="1"/>
  <c r="L100" i="30"/>
  <c r="M100" i="30" s="1"/>
  <c r="G108" i="30"/>
  <c r="J101" i="30"/>
  <c r="M101" i="30" s="1"/>
  <c r="J100" i="30"/>
  <c r="Q121" i="30"/>
  <c r="L104" i="30"/>
  <c r="L123" i="30"/>
  <c r="J107" i="30"/>
  <c r="Q107" i="30" s="1"/>
  <c r="P129" i="30"/>
  <c r="M136" i="30"/>
  <c r="I94" i="30"/>
  <c r="D116" i="30"/>
  <c r="H103" i="30"/>
  <c r="G103" i="30"/>
  <c r="D103" i="30"/>
  <c r="P119" i="30"/>
  <c r="M119" i="30"/>
  <c r="M122" i="30"/>
  <c r="P122" i="30"/>
  <c r="R122" i="30" s="1"/>
  <c r="L114" i="30"/>
  <c r="D118" i="30"/>
  <c r="G118" i="30"/>
  <c r="H118" i="30"/>
  <c r="H96" i="30"/>
  <c r="G96" i="30"/>
  <c r="D96" i="30"/>
  <c r="I96" i="30"/>
  <c r="P121" i="30"/>
  <c r="M121" i="30"/>
  <c r="P89" i="30"/>
  <c r="V89" i="30" s="1"/>
  <c r="P116" i="30"/>
  <c r="M116" i="30"/>
  <c r="P132" i="30"/>
  <c r="Q105" i="30"/>
  <c r="J118" i="30"/>
  <c r="L118" i="30"/>
  <c r="P106" i="30"/>
  <c r="V106" i="30" s="1"/>
  <c r="Q89" i="30"/>
  <c r="D114" i="30"/>
  <c r="H114" i="30"/>
  <c r="G114" i="30"/>
  <c r="D92" i="30"/>
  <c r="H92" i="30"/>
  <c r="G92" i="30"/>
  <c r="I92" i="30"/>
  <c r="M102" i="30"/>
  <c r="J88" i="30"/>
  <c r="J114" i="30"/>
  <c r="Q129" i="30"/>
  <c r="P128" i="30"/>
  <c r="R128" i="30" s="1"/>
  <c r="I118" i="30"/>
  <c r="L88" i="30"/>
  <c r="V104" i="30"/>
  <c r="M94" i="30"/>
  <c r="P94" i="30"/>
  <c r="R94" i="30" s="1"/>
  <c r="Q124" i="30"/>
  <c r="Q94" i="30"/>
  <c r="L92" i="30"/>
  <c r="P130" i="30"/>
  <c r="R130" i="30" s="1"/>
  <c r="P131" i="30"/>
  <c r="R131" i="30" s="1"/>
  <c r="H107" i="30"/>
  <c r="M107" i="30" s="1"/>
  <c r="D107" i="30"/>
  <c r="I107" i="30"/>
  <c r="H88" i="30"/>
  <c r="D88" i="30"/>
  <c r="P120" i="30"/>
  <c r="R120" i="30" s="1"/>
  <c r="M120" i="30"/>
  <c r="P91" i="30"/>
  <c r="M91" i="30"/>
  <c r="P101" i="30"/>
  <c r="Q137" i="30"/>
  <c r="L96" i="30"/>
  <c r="I114" i="30"/>
  <c r="P134" i="30"/>
  <c r="R134" i="30" s="1"/>
  <c r="M134" i="30"/>
  <c r="I103" i="30"/>
  <c r="V124" i="30"/>
  <c r="P124" i="30"/>
  <c r="M124" i="30"/>
  <c r="M128" i="30"/>
  <c r="Q95" i="30"/>
  <c r="V90" i="30"/>
  <c r="P115" i="30"/>
  <c r="R115" i="30" s="1"/>
  <c r="M115" i="30"/>
  <c r="P102" i="30"/>
  <c r="J96" i="30"/>
  <c r="Q96" i="30" s="1"/>
  <c r="M95" i="30"/>
  <c r="P138" i="30"/>
  <c r="R138" i="30" s="1"/>
  <c r="J92" i="30"/>
  <c r="Q92" i="30" s="1"/>
  <c r="V105" i="30" l="1"/>
  <c r="P86" i="30"/>
  <c r="M104" i="30"/>
  <c r="R132" i="30"/>
  <c r="P95" i="30"/>
  <c r="R121" i="30"/>
  <c r="M110" i="30"/>
  <c r="R129" i="30"/>
  <c r="M123" i="30"/>
  <c r="R102" i="30"/>
  <c r="M88" i="30"/>
  <c r="Q123" i="30"/>
  <c r="R123" i="30" s="1"/>
  <c r="Q101" i="30"/>
  <c r="R137" i="30"/>
  <c r="R135" i="30"/>
  <c r="R93" i="30"/>
  <c r="V93" i="30"/>
  <c r="R119" i="30"/>
  <c r="Q100" i="30"/>
  <c r="R100" i="30" s="1"/>
  <c r="P87" i="30"/>
  <c r="R87" i="30" s="1"/>
  <c r="R101" i="30"/>
  <c r="P123" i="30"/>
  <c r="V123" i="30" s="1"/>
  <c r="M106" i="30"/>
  <c r="R104" i="30"/>
  <c r="R91" i="30"/>
  <c r="M87" i="30"/>
  <c r="V122" i="30"/>
  <c r="R116" i="30"/>
  <c r="P107" i="30"/>
  <c r="R107" i="30" s="1"/>
  <c r="M108" i="30"/>
  <c r="P110" i="30"/>
  <c r="V110" i="30" s="1"/>
  <c r="R86" i="30"/>
  <c r="P109" i="30"/>
  <c r="R109" i="30" s="1"/>
  <c r="P88" i="30"/>
  <c r="R124" i="30"/>
  <c r="M109" i="30"/>
  <c r="V101" i="30"/>
  <c r="V119" i="30"/>
  <c r="P108" i="30"/>
  <c r="R108" i="30" s="1"/>
  <c r="V102" i="30"/>
  <c r="V94" i="30"/>
  <c r="V91" i="30"/>
  <c r="R110" i="30"/>
  <c r="Q118" i="30"/>
  <c r="M103" i="30"/>
  <c r="P103" i="30"/>
  <c r="R103" i="30" s="1"/>
  <c r="V120" i="30"/>
  <c r="V121" i="30"/>
  <c r="V88" i="30"/>
  <c r="V116" i="30"/>
  <c r="M96" i="30"/>
  <c r="P96" i="30"/>
  <c r="R96" i="30" s="1"/>
  <c r="V115" i="30"/>
  <c r="Q88" i="30"/>
  <c r="R88" i="30" s="1"/>
  <c r="R89" i="30"/>
  <c r="M114" i="30"/>
  <c r="P114" i="30"/>
  <c r="V114" i="30" s="1"/>
  <c r="R106" i="30"/>
  <c r="Q114" i="30"/>
  <c r="M92" i="30"/>
  <c r="P92" i="30"/>
  <c r="R92" i="30" s="1"/>
  <c r="M118" i="30"/>
  <c r="P118" i="30"/>
  <c r="R118" i="30" s="1"/>
  <c r="V86" i="30"/>
  <c r="R95" i="30" l="1"/>
  <c r="V95" i="30"/>
  <c r="V92" i="30"/>
  <c r="V107" i="30"/>
  <c r="V87" i="30"/>
  <c r="V103" i="30"/>
  <c r="V109" i="30"/>
  <c r="R114" i="30"/>
  <c r="V108" i="30"/>
  <c r="V118" i="30"/>
  <c r="V96" i="30"/>
  <c r="J24" i="11" l="1"/>
  <c r="J23" i="11"/>
  <c r="J22" i="11"/>
  <c r="J21" i="11"/>
  <c r="J20" i="11"/>
  <c r="J19" i="11"/>
  <c r="C169" i="27" l="1"/>
  <c r="D169" i="27" s="1"/>
  <c r="C170" i="27"/>
  <c r="D170" i="27" s="1"/>
  <c r="C171" i="27"/>
  <c r="D171" i="27" s="1"/>
  <c r="C172" i="27"/>
  <c r="D172" i="27" s="1"/>
  <c r="C173" i="27"/>
  <c r="D173" i="27" s="1"/>
  <c r="C174" i="27"/>
  <c r="D174" i="27" s="1"/>
  <c r="C175" i="27"/>
  <c r="D175" i="27" s="1"/>
  <c r="C176" i="27"/>
  <c r="D176" i="27" s="1"/>
  <c r="C177" i="27"/>
  <c r="D177" i="27" s="1"/>
  <c r="C178" i="27"/>
  <c r="D178" i="27" s="1"/>
  <c r="C179" i="27"/>
  <c r="D179" i="27" s="1"/>
  <c r="C180" i="27"/>
  <c r="D180" i="27" s="1"/>
  <c r="C181" i="27"/>
  <c r="D181" i="27" s="1"/>
  <c r="C182" i="27"/>
  <c r="D182" i="27" s="1"/>
  <c r="C183" i="27"/>
  <c r="D183" i="27" s="1"/>
  <c r="C184" i="27"/>
  <c r="D184" i="27" s="1"/>
  <c r="C185" i="27"/>
  <c r="D185" i="27" s="1"/>
  <c r="C186" i="27"/>
  <c r="D186" i="27" s="1"/>
  <c r="E163" i="27"/>
  <c r="E162" i="27"/>
  <c r="E161" i="27"/>
  <c r="E160" i="27"/>
  <c r="E159" i="27"/>
  <c r="E158" i="27"/>
  <c r="E157" i="27"/>
  <c r="E156" i="27"/>
  <c r="E155" i="27"/>
  <c r="E154" i="27"/>
  <c r="E153" i="27"/>
  <c r="E152" i="27"/>
  <c r="E151" i="27"/>
  <c r="E150" i="27"/>
  <c r="E149" i="27"/>
  <c r="E148" i="27"/>
  <c r="E147" i="27"/>
  <c r="E146" i="27"/>
  <c r="E145" i="27"/>
  <c r="E144" i="27"/>
  <c r="E143" i="27"/>
  <c r="E142" i="27"/>
  <c r="E141" i="27"/>
  <c r="E140" i="27"/>
  <c r="E139" i="27"/>
  <c r="E138" i="27"/>
  <c r="E137" i="27"/>
  <c r="E136" i="27"/>
  <c r="E135" i="27"/>
  <c r="E134" i="27"/>
  <c r="E133" i="27"/>
  <c r="E132" i="27"/>
  <c r="E131" i="27"/>
  <c r="E130" i="27"/>
  <c r="E129" i="27"/>
  <c r="E128" i="27"/>
  <c r="E127" i="27"/>
  <c r="E126" i="27"/>
  <c r="E125" i="27"/>
  <c r="E124" i="27"/>
  <c r="E123" i="27"/>
  <c r="E122" i="27"/>
  <c r="E121" i="27"/>
  <c r="E120" i="27"/>
  <c r="E119" i="27"/>
  <c r="E118" i="27"/>
  <c r="E117" i="27"/>
  <c r="E116" i="27"/>
  <c r="E115" i="27"/>
  <c r="E114" i="27"/>
  <c r="E113" i="27"/>
  <c r="E112" i="27"/>
  <c r="E111" i="27"/>
  <c r="E110" i="27"/>
  <c r="E109" i="27"/>
  <c r="E108" i="27"/>
  <c r="E107" i="27"/>
  <c r="E106" i="27"/>
  <c r="E105" i="27"/>
  <c r="E104" i="27"/>
  <c r="E103" i="27"/>
  <c r="E102" i="27"/>
  <c r="E101" i="27"/>
  <c r="E100" i="27"/>
  <c r="E99" i="27"/>
  <c r="E98" i="27"/>
  <c r="E97" i="27"/>
  <c r="E96" i="27"/>
  <c r="E95" i="27"/>
  <c r="E94" i="27"/>
  <c r="E93" i="27"/>
  <c r="E92" i="27"/>
  <c r="E91" i="27"/>
  <c r="E90" i="27"/>
  <c r="E89" i="27"/>
  <c r="E88" i="27"/>
  <c r="E87" i="27"/>
  <c r="E86" i="27"/>
  <c r="E85" i="27"/>
  <c r="E84" i="27"/>
  <c r="E83" i="27"/>
  <c r="E82" i="27"/>
  <c r="E81" i="27"/>
  <c r="E80" i="27"/>
  <c r="E79" i="27"/>
  <c r="E78" i="27"/>
  <c r="E77" i="27"/>
  <c r="E76" i="27"/>
  <c r="E75" i="27"/>
  <c r="E74" i="27"/>
  <c r="E73" i="27"/>
  <c r="L92" i="26"/>
  <c r="K92" i="26"/>
  <c r="J92" i="26"/>
  <c r="I92" i="26"/>
  <c r="H92" i="26"/>
  <c r="G92" i="26"/>
  <c r="F92" i="26"/>
  <c r="E92" i="26"/>
  <c r="D92" i="26"/>
  <c r="L91" i="26"/>
  <c r="K91" i="26"/>
  <c r="J91" i="26"/>
  <c r="I91" i="26"/>
  <c r="H91" i="26"/>
  <c r="G91" i="26"/>
  <c r="F91" i="26"/>
  <c r="E91" i="26"/>
  <c r="D91" i="26"/>
  <c r="L90" i="26"/>
  <c r="K90" i="26"/>
  <c r="J90" i="26"/>
  <c r="I90" i="26"/>
  <c r="H90" i="26"/>
  <c r="G90" i="26"/>
  <c r="F90" i="26"/>
  <c r="E90" i="26"/>
  <c r="D90" i="26"/>
  <c r="L89" i="26"/>
  <c r="K89" i="26"/>
  <c r="J89" i="26"/>
  <c r="I89" i="26"/>
  <c r="H89" i="26"/>
  <c r="G89" i="26"/>
  <c r="F89" i="26"/>
  <c r="E89" i="26"/>
  <c r="D89" i="26"/>
  <c r="L88" i="26"/>
  <c r="K88" i="26"/>
  <c r="J88" i="26"/>
  <c r="I88" i="26"/>
  <c r="H88" i="26"/>
  <c r="G88" i="26"/>
  <c r="F88" i="26"/>
  <c r="E88" i="26"/>
  <c r="D88" i="26"/>
  <c r="L87" i="26"/>
  <c r="K87" i="26"/>
  <c r="J87" i="26"/>
  <c r="I87" i="26"/>
  <c r="H87" i="26"/>
  <c r="G87" i="26"/>
  <c r="F87" i="26"/>
  <c r="E87" i="26"/>
  <c r="D87" i="26"/>
  <c r="L86" i="26"/>
  <c r="K86" i="26"/>
  <c r="J86" i="26"/>
  <c r="I86" i="26"/>
  <c r="H86" i="26"/>
  <c r="G86" i="26"/>
  <c r="F86" i="26"/>
  <c r="E86" i="26"/>
  <c r="D86" i="26"/>
  <c r="L85" i="26"/>
  <c r="K85" i="26"/>
  <c r="J85" i="26"/>
  <c r="I85" i="26"/>
  <c r="H85" i="26"/>
  <c r="G85" i="26"/>
  <c r="F85" i="26"/>
  <c r="E85" i="26"/>
  <c r="D85" i="26"/>
  <c r="L84" i="26"/>
  <c r="K84" i="26"/>
  <c r="J84" i="26"/>
  <c r="I84" i="26"/>
  <c r="H84" i="26"/>
  <c r="G84" i="26"/>
  <c r="F84" i="26"/>
  <c r="E84" i="26"/>
  <c r="D84" i="26"/>
  <c r="L83" i="26"/>
  <c r="K83" i="26"/>
  <c r="J83" i="26"/>
  <c r="I83" i="26"/>
  <c r="H83" i="26"/>
  <c r="G83" i="26"/>
  <c r="F83" i="26"/>
  <c r="E83" i="26"/>
  <c r="D83" i="26"/>
  <c r="L82" i="26"/>
  <c r="K82" i="26"/>
  <c r="J82" i="26"/>
  <c r="I82" i="26"/>
  <c r="H82" i="26"/>
  <c r="G82" i="26"/>
  <c r="F82" i="26"/>
  <c r="E82" i="26"/>
  <c r="D82" i="26"/>
  <c r="L81" i="26"/>
  <c r="K81" i="26"/>
  <c r="J81" i="26"/>
  <c r="I81" i="26"/>
  <c r="H81" i="26"/>
  <c r="G81" i="26"/>
  <c r="F81" i="26"/>
  <c r="E81" i="26"/>
  <c r="D81" i="26"/>
  <c r="L80" i="26"/>
  <c r="K80" i="26"/>
  <c r="J80" i="26"/>
  <c r="I80" i="26"/>
  <c r="H80" i="26"/>
  <c r="G80" i="26"/>
  <c r="F80" i="26"/>
  <c r="E80" i="26"/>
  <c r="D80" i="26"/>
  <c r="L79" i="26"/>
  <c r="K79" i="26"/>
  <c r="J79" i="26"/>
  <c r="I79" i="26"/>
  <c r="H79" i="26"/>
  <c r="G79" i="26"/>
  <c r="F79" i="26"/>
  <c r="E79" i="26"/>
  <c r="D79" i="26"/>
  <c r="L78" i="26"/>
  <c r="K78" i="26"/>
  <c r="J78" i="26"/>
  <c r="I78" i="26"/>
  <c r="H78" i="26"/>
  <c r="G78" i="26"/>
  <c r="F78" i="26"/>
  <c r="E78" i="26"/>
  <c r="D78" i="26"/>
  <c r="L77" i="26"/>
  <c r="K77" i="26"/>
  <c r="J77" i="26"/>
  <c r="I77" i="26"/>
  <c r="H77" i="26"/>
  <c r="G77" i="26"/>
  <c r="F77" i="26"/>
  <c r="E77" i="26"/>
  <c r="D77" i="26"/>
  <c r="L76" i="26"/>
  <c r="K76" i="26"/>
  <c r="J76" i="26"/>
  <c r="I76" i="26"/>
  <c r="H76" i="26"/>
  <c r="G76" i="26"/>
  <c r="F76" i="26"/>
  <c r="E76" i="26"/>
  <c r="D76" i="26"/>
  <c r="L75" i="26"/>
  <c r="K75" i="26"/>
  <c r="J75" i="26"/>
  <c r="I75" i="26"/>
  <c r="H75" i="26"/>
  <c r="G75" i="26"/>
  <c r="F75" i="26"/>
  <c r="E75" i="26"/>
  <c r="D75" i="26"/>
  <c r="L74" i="26"/>
  <c r="K74" i="26"/>
  <c r="J74" i="26"/>
  <c r="I74" i="26"/>
  <c r="H74" i="26"/>
  <c r="G74" i="26"/>
  <c r="F74" i="26"/>
  <c r="E74" i="26"/>
  <c r="D74" i="26"/>
  <c r="L73" i="26"/>
  <c r="K73" i="26"/>
  <c r="J73" i="26"/>
  <c r="I73" i="26"/>
  <c r="H73" i="26"/>
  <c r="G73" i="26"/>
  <c r="F73" i="26"/>
  <c r="E73" i="26"/>
  <c r="D73" i="26"/>
  <c r="E7" i="15"/>
  <c r="E8" i="15"/>
  <c r="E9" i="15"/>
  <c r="E10" i="15"/>
  <c r="E11" i="15"/>
  <c r="E6" i="15"/>
  <c r="C14" i="15" l="1"/>
  <c r="C15" i="15" s="1"/>
  <c r="H30" i="21"/>
  <c r="H29" i="21"/>
  <c r="H28" i="21"/>
  <c r="H27" i="21"/>
  <c r="H26" i="21"/>
  <c r="H25" i="21"/>
  <c r="H23" i="21"/>
  <c r="D42" i="21"/>
  <c r="D41" i="21"/>
  <c r="E40" i="21"/>
  <c r="H40" i="21" s="1"/>
  <c r="E39" i="21"/>
  <c r="H39" i="21" s="1"/>
  <c r="E38" i="21"/>
  <c r="H38" i="21" s="1"/>
  <c r="E37" i="21"/>
  <c r="H37" i="21" s="1"/>
  <c r="E36" i="21"/>
  <c r="H36" i="21" s="1"/>
  <c r="E35" i="21"/>
  <c r="H35" i="21" s="1"/>
  <c r="E34" i="21"/>
  <c r="H34" i="21" s="1"/>
  <c r="E33" i="21"/>
  <c r="H33" i="21" s="1"/>
  <c r="E32" i="21"/>
  <c r="H32" i="21" s="1"/>
  <c r="E31" i="21"/>
  <c r="H31" i="21" s="1"/>
  <c r="E30" i="21"/>
  <c r="E29" i="21"/>
  <c r="E28" i="21"/>
  <c r="E27" i="21"/>
  <c r="E26" i="21"/>
  <c r="E25" i="21"/>
  <c r="E24" i="21"/>
  <c r="E23" i="21"/>
  <c r="L6" i="21"/>
  <c r="M6" i="21"/>
  <c r="N6" i="21"/>
  <c r="O6" i="21"/>
  <c r="P6" i="21"/>
  <c r="Q6" i="21"/>
  <c r="R6" i="21"/>
  <c r="S6" i="21"/>
  <c r="T6" i="21"/>
  <c r="L7" i="21"/>
  <c r="M7" i="21"/>
  <c r="N7" i="21"/>
  <c r="O7" i="21"/>
  <c r="P7" i="21"/>
  <c r="Q7" i="21"/>
  <c r="R7" i="21"/>
  <c r="S7" i="21"/>
  <c r="T7" i="21"/>
  <c r="L8" i="21"/>
  <c r="M8" i="21"/>
  <c r="N8" i="21"/>
  <c r="O8" i="21"/>
  <c r="P8" i="21"/>
  <c r="Q8" i="21"/>
  <c r="R8" i="21"/>
  <c r="S8" i="21"/>
  <c r="T8" i="21"/>
  <c r="L9" i="21"/>
  <c r="M9" i="21"/>
  <c r="N9" i="21"/>
  <c r="O9" i="21"/>
  <c r="P9" i="21"/>
  <c r="Q9" i="21"/>
  <c r="R9" i="21"/>
  <c r="S9" i="21"/>
  <c r="T9" i="21"/>
  <c r="L10" i="21"/>
  <c r="M10" i="21"/>
  <c r="N10" i="21"/>
  <c r="O10" i="21"/>
  <c r="P10" i="21"/>
  <c r="Q10" i="21"/>
  <c r="R10" i="21"/>
  <c r="S10" i="21"/>
  <c r="T10" i="21"/>
  <c r="L11" i="21"/>
  <c r="M11" i="21"/>
  <c r="N11" i="21"/>
  <c r="O11" i="21"/>
  <c r="P11" i="21"/>
  <c r="Q11" i="21"/>
  <c r="R11" i="21"/>
  <c r="S11" i="21"/>
  <c r="T11" i="21"/>
  <c r="L12" i="21"/>
  <c r="M12" i="21"/>
  <c r="N12" i="21"/>
  <c r="O12" i="21"/>
  <c r="P12" i="21"/>
  <c r="Q12" i="21"/>
  <c r="R12" i="21"/>
  <c r="S12" i="21"/>
  <c r="T12" i="21"/>
  <c r="L13" i="21"/>
  <c r="M13" i="21"/>
  <c r="N13" i="21"/>
  <c r="O13" i="21"/>
  <c r="P13" i="21"/>
  <c r="Q13" i="21"/>
  <c r="R13" i="21"/>
  <c r="S13" i="21"/>
  <c r="T13" i="21"/>
  <c r="L14" i="21"/>
  <c r="M14" i="21"/>
  <c r="N14" i="21"/>
  <c r="O14" i="21"/>
  <c r="P14" i="21"/>
  <c r="Q14" i="21"/>
  <c r="R14" i="21"/>
  <c r="S14" i="21"/>
  <c r="T14" i="21"/>
  <c r="M5" i="21"/>
  <c r="N5" i="21"/>
  <c r="O5" i="21"/>
  <c r="P5" i="21"/>
  <c r="Q5" i="21"/>
  <c r="R5" i="21"/>
  <c r="S5" i="21"/>
  <c r="T5" i="21"/>
  <c r="L5" i="21"/>
  <c r="E42" i="21" l="1"/>
  <c r="E41" i="21"/>
  <c r="N19" i="20"/>
  <c r="O19" i="20"/>
  <c r="N20" i="20"/>
  <c r="O20" i="20"/>
  <c r="N21" i="20"/>
  <c r="O21" i="20"/>
  <c r="N22" i="20"/>
  <c r="O22" i="20"/>
  <c r="N23" i="20"/>
  <c r="O23" i="20"/>
  <c r="N24" i="20"/>
  <c r="O24" i="20"/>
  <c r="N25" i="20"/>
  <c r="O25" i="20"/>
  <c r="N26" i="20"/>
  <c r="O26" i="20"/>
  <c r="N27" i="20"/>
  <c r="O27" i="20"/>
  <c r="N28" i="20"/>
  <c r="O28" i="20"/>
  <c r="M28" i="20"/>
  <c r="M20" i="20"/>
  <c r="M21" i="20"/>
  <c r="M22" i="20"/>
  <c r="M23" i="20"/>
  <c r="M24" i="20"/>
  <c r="M25" i="20"/>
  <c r="M26" i="20"/>
  <c r="M27" i="20"/>
  <c r="M19" i="20"/>
  <c r="J19" i="20"/>
  <c r="K19" i="20"/>
  <c r="J20" i="20"/>
  <c r="K20" i="20"/>
  <c r="J21" i="20"/>
  <c r="K21" i="20"/>
  <c r="J22" i="20"/>
  <c r="K22" i="20"/>
  <c r="J23" i="20"/>
  <c r="K23" i="20"/>
  <c r="J24" i="20"/>
  <c r="K24" i="20"/>
  <c r="J25" i="20"/>
  <c r="K25" i="20"/>
  <c r="J26" i="20"/>
  <c r="K26" i="20"/>
  <c r="J27" i="20"/>
  <c r="K27" i="20"/>
  <c r="J28" i="20"/>
  <c r="K28" i="20"/>
  <c r="I20" i="20"/>
  <c r="I21" i="20"/>
  <c r="I22" i="20"/>
  <c r="I23" i="20"/>
  <c r="I24" i="20"/>
  <c r="I25" i="20"/>
  <c r="I26" i="20"/>
  <c r="I27" i="20"/>
  <c r="I28" i="20"/>
  <c r="I19" i="20"/>
  <c r="F7" i="13"/>
  <c r="F8" i="13"/>
  <c r="F9" i="13"/>
  <c r="F10" i="13"/>
  <c r="D7" i="13"/>
  <c r="D8" i="13"/>
  <c r="D9" i="13"/>
  <c r="D10" i="13"/>
  <c r="D6" i="13"/>
  <c r="I20" i="11" l="1"/>
  <c r="I21" i="11"/>
  <c r="I22" i="11"/>
  <c r="I23" i="11"/>
  <c r="I24" i="11"/>
  <c r="I19" i="11"/>
  <c r="I14" i="11"/>
  <c r="I15" i="11"/>
  <c r="I16" i="11"/>
  <c r="I17" i="11"/>
  <c r="I18" i="11"/>
  <c r="I13" i="11"/>
  <c r="H20" i="11"/>
  <c r="H21" i="11"/>
  <c r="H22" i="11"/>
  <c r="H23" i="11"/>
  <c r="H24" i="11"/>
  <c r="H19" i="11"/>
  <c r="H14" i="11"/>
  <c r="H15" i="11"/>
  <c r="H16" i="11"/>
  <c r="H17" i="11"/>
  <c r="H18" i="11"/>
  <c r="H13" i="11"/>
  <c r="H8" i="11"/>
  <c r="H9" i="11"/>
  <c r="H10" i="11"/>
  <c r="H11" i="11"/>
  <c r="H12" i="11"/>
  <c r="H7" i="11"/>
  <c r="G20" i="11"/>
  <c r="G21" i="11"/>
  <c r="G22" i="11"/>
  <c r="G23" i="11"/>
  <c r="G24" i="11"/>
  <c r="G19" i="11"/>
  <c r="G14" i="11"/>
  <c r="G15" i="11"/>
  <c r="G16" i="11"/>
  <c r="G17" i="11"/>
  <c r="G18" i="11"/>
  <c r="G13" i="11"/>
  <c r="G8" i="11"/>
  <c r="G9" i="11"/>
  <c r="G10" i="11"/>
  <c r="G11" i="11"/>
  <c r="G12" i="11"/>
  <c r="G7" i="11"/>
</calcChain>
</file>

<file path=xl/sharedStrings.xml><?xml version="1.0" encoding="utf-8"?>
<sst xmlns="http://schemas.openxmlformats.org/spreadsheetml/2006/main" count="2283" uniqueCount="649">
  <si>
    <t>About this file</t>
  </si>
  <si>
    <t>Purpose:</t>
  </si>
  <si>
    <t>This file contains the underlying data used in charts and discussion in the Toitū te Waiora Early Childhood Education Workforce Report, developed in partnership with Early Childhood Council.</t>
  </si>
  <si>
    <t>Prepared by:</t>
  </si>
  <si>
    <t>Cerelia Diprose, Principal Data and Insights Analyst, Toitū te Waiora</t>
  </si>
  <si>
    <t>Reviewed by:</t>
  </si>
  <si>
    <t>Mana Leasi, Data and Insights Analyst, Toitū te Waiora</t>
  </si>
  <si>
    <t>You should know</t>
  </si>
  <si>
    <t>The data in this file were compiled from a range of public and restricted-access sources, including</t>
  </si>
  <si>
    <t>Public sources</t>
  </si>
  <si>
    <t>Education Counts | Ministry of Education</t>
  </si>
  <si>
    <t>Infoshare | Stats NZ</t>
  </si>
  <si>
    <t>Aotearoa Data Explorer | Stats NZ</t>
  </si>
  <si>
    <t>Injuries resulting in more than a week away from work | WorkSafe</t>
  </si>
  <si>
    <t>Te Mata Raraunga | Workforce Development Councils</t>
  </si>
  <si>
    <t>Restricted access sources</t>
  </si>
  <si>
    <t>Integrated Data Infrastructure | Stats NZ</t>
  </si>
  <si>
    <t>We will publish our forecasting model separately</t>
  </si>
  <si>
    <t>The model used to produce our workforce forecast will be published separately on the Toitū te Waiora website.</t>
  </si>
  <si>
    <t>As such, only the results have been included in this data package.</t>
  </si>
  <si>
    <t>All numbers should be viewed as estimates</t>
  </si>
  <si>
    <t>The New Zealand public sector takes privacy seriously. Because of this, published numbers are usually rounded (to multiples of 3, 5, or the nearest appropriate modulo based on the scale of a number) or suppressed (reported as blank, unknown, or zero if the number of people concerned is very small). The numbers are useful for understanding workforces, but should not be considered exact.</t>
  </si>
  <si>
    <t>Contents</t>
  </si>
  <si>
    <t>Tab name</t>
  </si>
  <si>
    <t>Figure heading</t>
  </si>
  <si>
    <t>Description</t>
  </si>
  <si>
    <r>
      <t>Source(s)</t>
    </r>
    <r>
      <rPr>
        <i/>
        <sz val="11"/>
        <color theme="1"/>
        <rFont val="Aptos Narrow"/>
        <family val="2"/>
        <scheme val="minor"/>
      </rPr>
      <t xml:space="preserve"> (semicolon separated)</t>
    </r>
  </si>
  <si>
    <t>Tab 1</t>
  </si>
  <si>
    <t>Figure 1: Methodology</t>
  </si>
  <si>
    <t xml:space="preserve">Overview of methodology </t>
  </si>
  <si>
    <t>As noted on the worksheet</t>
  </si>
  <si>
    <t>Tab 2</t>
  </si>
  <si>
    <t>Figure 2: Forecast total FTE workforce, for centre-based, teacher-led services</t>
  </si>
  <si>
    <t>Toitū te Waiora workforce supply and demand projection. Please see the more detailed ECE Workforce Forecast Model, found at: https://toitutewaiora.nz/early-childhood-education-workforce/</t>
  </si>
  <si>
    <t>Refer to the ECE Workforce Forecast Model, found here: https://toitutewaiora.nz/early-childhood-education-workforce/</t>
  </si>
  <si>
    <t>Tab 3</t>
  </si>
  <si>
    <t>Figure 3: Overall ECE participation</t>
  </si>
  <si>
    <t>Rate of participation in ECE, for all ages, for New Zealand overall, New Zealand excluding Auckland, and Auckland. Please see the more detailed ECE Workforce Forecast Model, found at: https://toitutewaiora.nz/early-childhood-education-workforce/</t>
  </si>
  <si>
    <t>Tab 4</t>
  </si>
  <si>
    <t>Figure 4: ECE participation by 4 year olds</t>
  </si>
  <si>
    <t>Rate of participation in ECE, for four year olds, for New Zealand overall, New Zealand excluding Auckland, and Auckland. Please see the more detailed ECE Workforce Forecast Model, found at: https://toitutewaiora.nz/early-childhood-education-workforce/</t>
  </si>
  <si>
    <t xml:space="preserve">Tab 5 </t>
  </si>
  <si>
    <t>Figure 5: Visa status of ECE workforce</t>
  </si>
  <si>
    <t>Incidence of holding a visa in the ECE workforce and the general population</t>
  </si>
  <si>
    <t>Toitū te Waiora; Stats NZ Integrated Data Infrastructure | Census collection; Stats NZ Integrated Data Infrastructure | DOL collection; Stats NZ Aotearoa Data Explorer</t>
  </si>
  <si>
    <t>Tab 6</t>
  </si>
  <si>
    <t>Figure 6: Pathways into the ECE workforce 2015-2024</t>
  </si>
  <si>
    <t>Known pathways into the ECE workforce, and originating sectors of industry changers joining the education sector</t>
  </si>
  <si>
    <t>Te Mata Raraunga; Stats NZ Integrated Data Infrastructure; Workforce Development Councils Shared Data Platform; Toitū te Waiora analytical modelling</t>
  </si>
  <si>
    <t>Tab 7</t>
  </si>
  <si>
    <t>Figure 7: Average time employed</t>
  </si>
  <si>
    <t>Average years employed in preschool education</t>
  </si>
  <si>
    <t>Te Mata Raraunga</t>
  </si>
  <si>
    <t>Tab 8</t>
  </si>
  <si>
    <t>Figure 8: Wage growth</t>
  </si>
  <si>
    <t>Comparative breakdown of ECE workforce and general population, broken down by age.</t>
  </si>
  <si>
    <t>Stats NZ Infoshare; Stats NZ Integrated Data Infrastructure | Census collection</t>
  </si>
  <si>
    <t>Tab 9</t>
  </si>
  <si>
    <t>Figure 9: Age profile</t>
  </si>
  <si>
    <t>Tab 10</t>
  </si>
  <si>
    <t>Figure 10: Ethnicity profile</t>
  </si>
  <si>
    <t>Comparative representation of ethnic groups in the general population, under 5 population, ECE workforce, and enrolled ECE learners</t>
  </si>
  <si>
    <t>Stats NZ Aotearoa Data Explorer; Ministry of Education | Education Counts | ECE Census; Tertiary Education Commission</t>
  </si>
  <si>
    <t>Tab 11</t>
  </si>
  <si>
    <t>Figure 11: Highest qualification</t>
  </si>
  <si>
    <t>Comparative breakdown of highest qualification  level of ECE workforce compared to general population</t>
  </si>
  <si>
    <t>Stats NZ Integrated Data Infrastructure | Census collection (2023 census)</t>
  </si>
  <si>
    <t>Tab 12</t>
  </si>
  <si>
    <t>Figure 12: Workforce qualification by ECE service type</t>
  </si>
  <si>
    <t>Proportion of qualified staff by service type</t>
  </si>
  <si>
    <t xml:space="preserve">Ministry of Education |Education Counts | ECE Census 2024 </t>
  </si>
  <si>
    <t>Tab 13</t>
  </si>
  <si>
    <t>Figure 13: Enrolments and completions of ECE qualifications</t>
  </si>
  <si>
    <t>Number of enrolments and completions of tertiary early childhood education qualifications by level and type.</t>
  </si>
  <si>
    <t>Ministry of Education | Education Counts | Tertiary Participation statistics</t>
  </si>
  <si>
    <t>Tab 14</t>
  </si>
  <si>
    <t>Figure 14: Qualification pathways</t>
  </si>
  <si>
    <t>Education and employment pathways</t>
  </si>
  <si>
    <t>Toitū te Waiora; Te Mata Raraunga</t>
  </si>
  <si>
    <t>Tab 15</t>
  </si>
  <si>
    <t>Figure 15: ACC claims</t>
  </si>
  <si>
    <t>Injuries resulting in more than a week away from work 2015-2024.  And comparative frequency of injuries resulting in more than 1 week away from work between preschool education, ECE teachers in other industries, and the overall workforce</t>
  </si>
  <si>
    <t>Toitū te Waiora; Stats NZ Integrated Data Infrastructure | ACC collection; Worksafe NZ</t>
  </si>
  <si>
    <t>Tab 16</t>
  </si>
  <si>
    <t>Appendix B: Additional information about ECE services</t>
  </si>
  <si>
    <t>Additional information about ECE services</t>
  </si>
  <si>
    <t>Definitions</t>
  </si>
  <si>
    <t>Term/Label</t>
  </si>
  <si>
    <t>What it means</t>
  </si>
  <si>
    <t>You should also know…</t>
  </si>
  <si>
    <t>Link (if applicable)</t>
  </si>
  <si>
    <t>Region</t>
  </si>
  <si>
    <t>Regional council area as defined by the Local Government Commission and/or Regional Councils at the time that data was collected for each Early Childhood Education Census.</t>
  </si>
  <si>
    <t>Service type</t>
  </si>
  <si>
    <t>The type of ECE service: e.g. education &amp; care service, kindergarten, home-based service, playcentre, kōhanga reo, etc.  For information on the different service types, see the Ministry of Education's website.</t>
  </si>
  <si>
    <t>Ministry of Education - ECE service types</t>
  </si>
  <si>
    <t>Number of [descriptor]</t>
  </si>
  <si>
    <t>The number of people or services in the described group, as reported in the ECE census for the relevant year. For more about the ECE census, see Education Counts.</t>
  </si>
  <si>
    <t>Zero or empty doesn't always mean zero. It can also mean that there weren't enough people in a category to talk about them without making individuals identifiable.</t>
  </si>
  <si>
    <t>Ministry of Education - Education Counts</t>
  </si>
  <si>
    <t>ECE workforce</t>
  </si>
  <si>
    <t>People who work as Early Childhood Education teaching staff as defined by the Ministry of Education in the ECE Census.</t>
  </si>
  <si>
    <t>ECE learners</t>
  </si>
  <si>
    <t>People enrolled in an early childhood education qualification developed by Toitū te Waiora.</t>
  </si>
  <si>
    <t>ECE participants</t>
  </si>
  <si>
    <t>People enrolled in an early childhood education service according to the ECE Census.</t>
  </si>
  <si>
    <t>General population</t>
  </si>
  <si>
    <t>The New Zealand population, using estimates from Statistics New Zealand.</t>
  </si>
  <si>
    <t>FiIGURE 1: METHODOLOGY</t>
  </si>
  <si>
    <t>METHODOLOGY</t>
  </si>
  <si>
    <t>Overview - flow chart</t>
  </si>
  <si>
    <t>Demand for ECE places</t>
  </si>
  <si>
    <t>Approach</t>
  </si>
  <si>
    <t>Stats NZ population estimates are used as the starting value. 
To estimate demand for ECE places for each age group (Under-2, 2, and 3+), observed rates of participation in ECE are applied to per-age population predictions.
To estimate demand for places in each service type, the estimated demand is modified by the observed share of participation for each service type. Mean share of participation is used for this step, as mean shares sum to 1.
To estimate the number of adult staff needed in the ECE industry, the estimated demand for service type is multiplied by the proportionalised adult-to-child ratio.
To estimate the number of qualified teachers needed in the ECE industry, the estimated number of adult staff needed is multiplied by the service type's targeted (Kindergarten) or regulated (other service types) percentage of  qualified teachers. 50% (or targeted (Kindergarten) or regulated (Home-based) minimum), 80%, and 100% scenarios are calculated to produce Low, Medium, and High demand scenarios. These percentages are based on the thresholds for funding bands.
A fourth scenario, in which all service types operate at 100% occupancy, is also allowed for. This scenario is labelled 'Maximum occupancy'. The maximum occupancy scenario assumes that all licensed places in all services will be in use all of the time. It uses observed mean rates of change in the number of licensed places for each service type, and applies minimum ratios to predict the size of the workforce necessary to support the industry if every licensed place was occupied in every hour it was available.
All numbers are rounded to the nearest multiple of 5, unless this would result in a zero. Where results would be zero, they are rounded to the nearest whole number.</t>
  </si>
  <si>
    <t>Starting variables</t>
  </si>
  <si>
    <t>Symbol</t>
  </si>
  <si>
    <t>Equation</t>
  </si>
  <si>
    <r>
      <t>a</t>
    </r>
    <r>
      <rPr>
        <i/>
        <vertAlign val="superscript"/>
        <sz val="11"/>
        <color theme="1"/>
        <rFont val="Aptos Narrow"/>
        <family val="2"/>
        <scheme val="minor"/>
      </rPr>
      <t>1</t>
    </r>
  </si>
  <si>
    <t>Stats NZ actual population estimate by age for years 2015-2024</t>
  </si>
  <si>
    <r>
      <t>a</t>
    </r>
    <r>
      <rPr>
        <i/>
        <vertAlign val="superscript"/>
        <sz val="11"/>
        <color theme="1"/>
        <rFont val="Aptos Narrow"/>
        <family val="2"/>
        <scheme val="minor"/>
      </rPr>
      <t>2</t>
    </r>
  </si>
  <si>
    <t>Stats NZ population estimate by age for years 2025-2035</t>
  </si>
  <si>
    <t>d</t>
  </si>
  <si>
    <t>Observed ECE participation rate for age (0-4)</t>
  </si>
  <si>
    <r>
      <t xml:space="preserve">number of people participating in ECE </t>
    </r>
    <r>
      <rPr>
        <sz val="11"/>
        <color theme="1"/>
        <rFont val="Aptos Narrow"/>
        <family val="2"/>
      </rPr>
      <t>÷ number of people in population of interest</t>
    </r>
  </si>
  <si>
    <t>e</t>
  </si>
  <si>
    <t>Market share for service type</t>
  </si>
  <si>
    <t>number of people participating in service type ÷ number of people participating in ECE</t>
  </si>
  <si>
    <t>f</t>
  </si>
  <si>
    <t>Total staff ratio multiplier</t>
  </si>
  <si>
    <t>stated number of adults ÷ stated number of children</t>
  </si>
  <si>
    <t>g</t>
  </si>
  <si>
    <t>Qualified staff percentage</t>
  </si>
  <si>
    <t>h</t>
  </si>
  <si>
    <t>Number of licensed places</t>
  </si>
  <si>
    <t>prior year's # licensed places * (1 + applicable change multiplier)</t>
  </si>
  <si>
    <t>i</t>
  </si>
  <si>
    <t>Average hours worked as reported in census for ANZSIC (either average or derived from average using straight-line method)</t>
  </si>
  <si>
    <t>FOR EACH age in {0, 1, 2, 3, 4}</t>
  </si>
  <si>
    <t>j</t>
  </si>
  <si>
    <t xml:space="preserve">Expected population = </t>
  </si>
  <si>
    <r>
      <rPr>
        <i/>
        <sz val="11"/>
        <color theme="1"/>
        <rFont val="Aptos Narrow"/>
        <family val="2"/>
        <scheme val="minor"/>
      </rPr>
      <t>a</t>
    </r>
    <r>
      <rPr>
        <i/>
        <vertAlign val="superscript"/>
        <sz val="11"/>
        <color theme="1"/>
        <rFont val="Aptos Narrow"/>
        <family val="2"/>
        <scheme val="minor"/>
      </rPr>
      <t>1</t>
    </r>
    <r>
      <rPr>
        <sz val="11"/>
        <color theme="1"/>
        <rFont val="Aptos Narrow"/>
        <family val="2"/>
        <scheme val="minor"/>
      </rPr>
      <t xml:space="preserve"> for  cohorts born prior to 2025 or</t>
    </r>
    <r>
      <rPr>
        <i/>
        <sz val="11"/>
        <color theme="1"/>
        <rFont val="Aptos Narrow"/>
        <family val="2"/>
        <scheme val="minor"/>
      </rPr>
      <t xml:space="preserve"> a</t>
    </r>
    <r>
      <rPr>
        <i/>
        <vertAlign val="superscript"/>
        <sz val="11"/>
        <color theme="1"/>
        <rFont val="Aptos Narrow"/>
        <family val="2"/>
        <scheme val="minor"/>
      </rPr>
      <t>2</t>
    </r>
    <r>
      <rPr>
        <i/>
        <sz val="11"/>
        <color theme="1"/>
        <rFont val="Aptos Narrow"/>
        <family val="2"/>
        <scheme val="minor"/>
      </rPr>
      <t xml:space="preserve"> </t>
    </r>
    <r>
      <rPr>
        <sz val="11"/>
        <color theme="1"/>
        <rFont val="Aptos Narrow"/>
        <family val="2"/>
        <scheme val="minor"/>
      </rPr>
      <t>for future cohorts</t>
    </r>
  </si>
  <si>
    <t>k</t>
  </si>
  <si>
    <t>Expected total demand for ECE places =</t>
  </si>
  <si>
    <r>
      <rPr>
        <i/>
        <sz val="11"/>
        <color theme="1"/>
        <rFont val="Aptos Narrow"/>
        <family val="2"/>
        <scheme val="minor"/>
      </rPr>
      <t>j</t>
    </r>
    <r>
      <rPr>
        <sz val="11"/>
        <color theme="1"/>
        <rFont val="Aptos Narrow"/>
        <family val="2"/>
        <scheme val="minor"/>
      </rPr>
      <t xml:space="preserve"> * </t>
    </r>
    <r>
      <rPr>
        <i/>
        <sz val="11"/>
        <color theme="1"/>
        <rFont val="Aptos Narrow"/>
        <family val="2"/>
        <scheme val="minor"/>
      </rPr>
      <t>d</t>
    </r>
  </si>
  <si>
    <t>FOR EACH service type</t>
  </si>
  <si>
    <t>l</t>
  </si>
  <si>
    <t>Expected demand for ECE places =</t>
  </si>
  <si>
    <r>
      <rPr>
        <i/>
        <sz val="11"/>
        <color theme="1"/>
        <rFont val="Aptos Narrow"/>
        <family val="2"/>
        <scheme val="minor"/>
      </rPr>
      <t>( j</t>
    </r>
    <r>
      <rPr>
        <sz val="11"/>
        <color theme="1"/>
        <rFont val="Aptos Narrow"/>
        <family val="2"/>
        <scheme val="minor"/>
      </rPr>
      <t xml:space="preserve"> * </t>
    </r>
    <r>
      <rPr>
        <i/>
        <sz val="11"/>
        <color theme="1"/>
        <rFont val="Aptos Narrow"/>
        <family val="2"/>
        <scheme val="minor"/>
      </rPr>
      <t>d</t>
    </r>
    <r>
      <rPr>
        <sz val="11"/>
        <color theme="1"/>
        <rFont val="Aptos Narrow"/>
        <family val="2"/>
        <scheme val="minor"/>
      </rPr>
      <t xml:space="preserve"> ) * e</t>
    </r>
  </si>
  <si>
    <t>m</t>
  </si>
  <si>
    <t>Expected FTE workforce needed =</t>
  </si>
  <si>
    <r>
      <t>i * (</t>
    </r>
    <r>
      <rPr>
        <sz val="11"/>
        <color theme="1"/>
        <rFont val="Aptos Narrow"/>
        <family val="2"/>
        <scheme val="minor"/>
      </rPr>
      <t xml:space="preserve">sum all </t>
    </r>
    <r>
      <rPr>
        <i/>
        <sz val="11"/>
        <color theme="1"/>
        <rFont val="Aptos Narrow"/>
        <family val="2"/>
        <scheme val="minor"/>
      </rPr>
      <t xml:space="preserve">( l * f ) </t>
    </r>
    <r>
      <rPr>
        <sz val="11"/>
        <color theme="1"/>
        <rFont val="Aptos Narrow"/>
        <family val="2"/>
        <scheme val="minor"/>
      </rPr>
      <t>results)</t>
    </r>
  </si>
  <si>
    <t>n</t>
  </si>
  <si>
    <t>Expected qualified FTE teachers needed =</t>
  </si>
  <si>
    <r>
      <t>i * (</t>
    </r>
    <r>
      <rPr>
        <sz val="11"/>
        <color theme="1"/>
        <rFont val="Aptos Narrow"/>
        <family val="2"/>
        <scheme val="minor"/>
      </rPr>
      <t xml:space="preserve"> sum all </t>
    </r>
    <r>
      <rPr>
        <i/>
        <sz val="11"/>
        <color theme="1"/>
        <rFont val="Aptos Narrow"/>
        <family val="2"/>
        <scheme val="minor"/>
      </rPr>
      <t>( m * g ) results )</t>
    </r>
  </si>
  <si>
    <t>Workforce supply</t>
  </si>
  <si>
    <t>ECE census data indicates steady growth in the workforce from 2016-2024 with all data points fitting well to a straight trend line.
Because of this, our workforce supply estimates take a simple straight-line approach.
Improving supply modelling is an opportunity identified in the Opportunities page.</t>
  </si>
  <si>
    <t xml:space="preserve">Please refer to the ECE Workforce Model found at: https://toitutewaiora.nz/early-childhood-education-workforce/ </t>
  </si>
  <si>
    <t>Participation share and teacher demand for centre-based, teacher-led services</t>
  </si>
  <si>
    <t>Participation share by service type and size</t>
  </si>
  <si>
    <t>Year</t>
  </si>
  <si>
    <t>Education &amp; Care</t>
  </si>
  <si>
    <t>Kindergarten</t>
  </si>
  <si>
    <t>Te Kōhanga Reo*</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</si>
  <si>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</si>
  <si>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</si>
  <si>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</si>
  <si>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</si>
  <si>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</si>
  <si>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</si>
  <si>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</si>
  <si>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</si>
  <si>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</si>
  <si>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</si>
  <si>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</si>
  <si>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</si>
  <si>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</si>
  <si>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</si>
  <si>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</si>
  <si>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</si>
  <si>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</si>
  <si>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</si>
  <si>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</si>
  <si>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</si>
  <si>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</si>
  <si>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</si>
  <si>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</si>
  <si>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</si>
  <si>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</si>
  <si>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2025</t>
  </si>
  <si>
    <t>Year-on-year market share change by service type</t>
  </si>
  <si>
    <t>Market share forecasting ranges</t>
  </si>
  <si>
    <t>Attendance levels</t>
  </si>
  <si>
    <t>Qualified staff count multipliers</t>
  </si>
  <si>
    <t>Measure</t>
  </si>
  <si>
    <t>Target</t>
  </si>
  <si>
    <t>2000-2025</t>
  </si>
  <si>
    <t>Hours</t>
  </si>
  <si>
    <t>Low</t>
  </si>
  <si>
    <t>Min</t>
  </si>
  <si>
    <t>FTE</t>
  </si>
  <si>
    <t>Medium</t>
  </si>
  <si>
    <t>Mean</t>
  </si>
  <si>
    <t>High</t>
  </si>
  <si>
    <t>Median</t>
  </si>
  <si>
    <t>Adult:Child ratio multipliers</t>
  </si>
  <si>
    <t>Max</t>
  </si>
  <si>
    <t>Group</t>
  </si>
  <si>
    <t>Te Kōhanga Reo</t>
  </si>
  <si>
    <t>Range</t>
  </si>
  <si>
    <t>Under 2s (regulated)</t>
  </si>
  <si>
    <t>2016-2025</t>
  </si>
  <si>
    <t>2+ (regulated)</t>
  </si>
  <si>
    <t>Under 2s (observed)</t>
  </si>
  <si>
    <t>2 (observed)</t>
  </si>
  <si>
    <t>3+ (observed)</t>
  </si>
  <si>
    <t>Market breakdown multipliers</t>
  </si>
  <si>
    <t>2021-2025</t>
  </si>
  <si>
    <t>Under 2s (4yr mean)</t>
  </si>
  <si>
    <t>2 (4yr mean)</t>
  </si>
  <si>
    <t>3-4 (4yr mean)</t>
  </si>
  <si>
    <t>5+ (4yr mean)</t>
  </si>
  <si>
    <t>Low scenario estimate - headcount enrolments</t>
  </si>
  <si>
    <t>Low scenario estimate - workforce FTE required to maintain observed ratios</t>
  </si>
  <si>
    <t>Low scenario estimate - qualified FTE required to maintain compliance with regulation</t>
  </si>
  <si>
    <t>Low scenario estimate - unqualified FTE required</t>
  </si>
  <si>
    <t>Total</t>
  </si>
  <si>
    <t>Education &amp; Care (under 2s)</t>
  </si>
  <si>
    <t>Education &amp; Care (2s)</t>
  </si>
  <si>
    <t>Education &amp; Care (3+)</t>
  </si>
  <si>
    <t>Kindergarten (Under 2s)</t>
  </si>
  <si>
    <t>Kindergarten (2s)</t>
  </si>
  <si>
    <t>Kindergarten (3+)</t>
  </si>
  <si>
    <t>Total FTE</t>
  </si>
  <si>
    <t>Medium scenario estimate - headcount enrolments</t>
  </si>
  <si>
    <t>Medium scenario estimate - workforce FTE required to maintain observed ratios</t>
  </si>
  <si>
    <t>Medium scenario estimate - qualified FTE required to maintain observed ratios (where available) or regulated ratios (where there are no observations available)</t>
  </si>
  <si>
    <t>Medium scenario estimate - unqualified FTE required</t>
  </si>
  <si>
    <t>High scenario estimate - headcount enrolments</t>
  </si>
  <si>
    <t>High scenario estimate - workforce FTE required to maintain observed ratios</t>
  </si>
  <si>
    <t>High scenario estimate - qualified FTE required to maintain observed ratios (where available) or regulated ratios (where there are no observations available)</t>
  </si>
  <si>
    <t>High scenario estimate - unqualified FTE required</t>
  </si>
  <si>
    <t>Compliance scenario estimate - headcount enrolments</t>
  </si>
  <si>
    <t>ECE-aged population and participation - Comparison dataset</t>
  </si>
  <si>
    <t>New Zealand (all regions)</t>
  </si>
  <si>
    <t>New Zealand excluding Auckland</t>
  </si>
  <si>
    <t>Auckland Region only</t>
  </si>
  <si>
    <t>Population aged 4 and under</t>
  </si>
  <si>
    <t xml:space="preserve"> </t>
  </si>
  <si>
    <t>0 Years</t>
  </si>
  <si>
    <t>1 Years</t>
  </si>
  <si>
    <t>2 Years</t>
  </si>
  <si>
    <t>3 Years</t>
  </si>
  <si>
    <t>4 Years</t>
  </si>
  <si>
    <t>Number of children participating in ECE</t>
  </si>
  <si>
    <t>% of demand from age</t>
  </si>
  <si>
    <t>Less than 1 years old</t>
  </si>
  <si>
    <t>1 years old</t>
  </si>
  <si>
    <t>2 years old</t>
  </si>
  <si>
    <t>3 years old</t>
  </si>
  <si>
    <t>4 years old</t>
  </si>
  <si>
    <t>Rate of participation in ECE</t>
  </si>
  <si>
    <t>Overall</t>
  </si>
  <si>
    <t>Covid years excluded</t>
  </si>
  <si>
    <t>Mean (exc. Covid years)</t>
  </si>
  <si>
    <t>Covid-related participation decrease</t>
  </si>
  <si>
    <t>Peak</t>
  </si>
  <si>
    <t>Average</t>
  </si>
  <si>
    <t>+/- Auckland</t>
  </si>
  <si>
    <t>+/- other regions</t>
  </si>
  <si>
    <t>Note: this is the same as Tab 3.</t>
  </si>
  <si>
    <t>Visa type</t>
  </si>
  <si>
    <t>Census</t>
  </si>
  <si>
    <t>Population #</t>
  </si>
  <si>
    <t>Population %</t>
  </si>
  <si>
    <t>ECE workforce #</t>
  </si>
  <si>
    <t>ECE workforce %</t>
  </si>
  <si>
    <t>PERMANENT RESIDENT</t>
  </si>
  <si>
    <t>INTERIM</t>
  </si>
  <si>
    <t>STUDENT</t>
  </si>
  <si>
    <t>RESIDENT</t>
  </si>
  <si>
    <t>WORK</t>
  </si>
  <si>
    <t>Total for group</t>
  </si>
  <si>
    <t>Visa numbers are sourced from Toitū te Waiora work in the Stats NZ Integrated Data Infrastructure</t>
  </si>
  <si>
    <t>Total for Population is sourced from Stats NZ Aotearoa Data Explorer</t>
  </si>
  <si>
    <t>Total for ECE workforce is sourced from Toitū te Waiora work in the Stats NZ Integrated Data Infrastructure</t>
  </si>
  <si>
    <t>Known pathways into the ECE workforce</t>
  </si>
  <si>
    <t>Based on data about people who joined the Preschool Education industry from 2015-2024</t>
  </si>
  <si>
    <t>Prior activity</t>
  </si>
  <si>
    <t>%</t>
  </si>
  <si>
    <t>Working in another industry</t>
  </si>
  <si>
    <t>Receiving job-seeker support</t>
  </si>
  <si>
    <t>Migrants</t>
  </si>
  <si>
    <t>Returning kiwi</t>
  </si>
  <si>
    <t>Secondary school graduate</t>
  </si>
  <si>
    <t>Tertiary graduate</t>
  </si>
  <si>
    <t>Other</t>
  </si>
  <si>
    <t>Originating sectors of industry changers joining education sector</t>
  </si>
  <si>
    <t>Originating sector</t>
  </si>
  <si>
    <t>% of industry changers</t>
  </si>
  <si>
    <t>Education</t>
  </si>
  <si>
    <t>Hospitality &amp; Food Services</t>
  </si>
  <si>
    <t>Health</t>
  </si>
  <si>
    <t>Retail &amp; Distribution Services</t>
  </si>
  <si>
    <t>Social Services</t>
  </si>
  <si>
    <t>Business and Professional Services</t>
  </si>
  <si>
    <t>Contact Centres &amp; Industry Support Services</t>
  </si>
  <si>
    <t>Community</t>
  </si>
  <si>
    <t>Toi Ora - Sport And Recreation</t>
  </si>
  <si>
    <t>Government Services</t>
  </si>
  <si>
    <t>Manufacturing</t>
  </si>
  <si>
    <t>Cleaning Services</t>
  </si>
  <si>
    <t>Food and Beverage Manufacturing</t>
  </si>
  <si>
    <t>Financial &amp; Advisory Services</t>
  </si>
  <si>
    <t>Onsite Construction</t>
  </si>
  <si>
    <t>Engineering</t>
  </si>
  <si>
    <t>Real Estate &amp; Rental Services</t>
  </si>
  <si>
    <t>Toi Whanui - Enabling Technologies</t>
  </si>
  <si>
    <t>Commercial Transport</t>
  </si>
  <si>
    <t>Toi-A-Ringa - Art And Design</t>
  </si>
  <si>
    <t>Retail and Wholesale Industries</t>
  </si>
  <si>
    <t>Construction and Infrastructure Occupations</t>
  </si>
  <si>
    <t>Automotive Engineering</t>
  </si>
  <si>
    <t>Support Services</t>
  </si>
  <si>
    <t>Supply Chain</t>
  </si>
  <si>
    <t>Dairy farming</t>
  </si>
  <si>
    <t>Electrical, Electronic, Electrotechnology and Telecommunications</t>
  </si>
  <si>
    <t>Sheep, Beef and Deer farming</t>
  </si>
  <si>
    <t>Security Services</t>
  </si>
  <si>
    <t>Civil Infrastructure</t>
  </si>
  <si>
    <t>Toi Paho - Broadcast And Screen</t>
  </si>
  <si>
    <t>Toi Puaki - Expressive Arts</t>
  </si>
  <si>
    <t>Fruit</t>
  </si>
  <si>
    <t>Tourism &amp; Travel Services</t>
  </si>
  <si>
    <t>Defence Services</t>
  </si>
  <si>
    <t>Nursery, turf and gardening</t>
  </si>
  <si>
    <t>Plumbing, Drainlaying and Gasfitting</t>
  </si>
  <si>
    <t>Vegetables</t>
  </si>
  <si>
    <t>Veterinary</t>
  </si>
  <si>
    <t>Finishing Trade</t>
  </si>
  <si>
    <t>Grapes and Wine</t>
  </si>
  <si>
    <t>Digital Infrastructure</t>
  </si>
  <si>
    <t>Aviation &amp; Airport Services</t>
  </si>
  <si>
    <t>Electricity Supply</t>
  </si>
  <si>
    <t>Extractives</t>
  </si>
  <si>
    <t>Seafood</t>
  </si>
  <si>
    <t>Forestry</t>
  </si>
  <si>
    <t>Offsite Construction</t>
  </si>
  <si>
    <t>Ports</t>
  </si>
  <si>
    <t>Equine, dogs and racing</t>
  </si>
  <si>
    <t>Poultry, Pigs and other livestock farming</t>
  </si>
  <si>
    <t>Arable</t>
  </si>
  <si>
    <t>Water Services</t>
  </si>
  <si>
    <t>Marine</t>
  </si>
  <si>
    <t>Apiculture</t>
  </si>
  <si>
    <t>Access Trade</t>
  </si>
  <si>
    <t>Gas Supply</t>
  </si>
  <si>
    <t>Industry leavers by ethnicity and destination, 2015-2024</t>
  </si>
  <si>
    <t>Ethnicity</t>
  </si>
  <si>
    <t>Benefits</t>
  </si>
  <si>
    <t>Industry changer</t>
  </si>
  <si>
    <t>Overseas</t>
  </si>
  <si>
    <t>Tertiary</t>
  </si>
  <si>
    <t>Grand Total</t>
  </si>
  <si>
    <t>Asian</t>
  </si>
  <si>
    <t>European</t>
  </si>
  <si>
    <t>Maori</t>
  </si>
  <si>
    <t>MELAA</t>
  </si>
  <si>
    <t>Pacific</t>
  </si>
  <si>
    <t>(blank)</t>
  </si>
  <si>
    <t>Notes:</t>
  </si>
  <si>
    <t>No chart for this - it just informs narrative.</t>
  </si>
  <si>
    <t>Months employed (not always consecutive)</t>
  </si>
  <si>
    <t>Years employed</t>
  </si>
  <si>
    <t>Number of people</t>
  </si>
  <si>
    <t>Midpoint (months)</t>
  </si>
  <si>
    <t>Weighting</t>
  </si>
  <si>
    <t>1-11 months</t>
  </si>
  <si>
    <t>Less than a year</t>
  </si>
  <si>
    <t>12-23 months</t>
  </si>
  <si>
    <t>1-2 years</t>
  </si>
  <si>
    <t>24-35 months</t>
  </si>
  <si>
    <t>2-3 years</t>
  </si>
  <si>
    <t>36-47 months</t>
  </si>
  <si>
    <t>3-4 years</t>
  </si>
  <si>
    <t>48-59 months</t>
  </si>
  <si>
    <t>4-5 years</t>
  </si>
  <si>
    <t>60+ months</t>
  </si>
  <si>
    <t>5 or more years</t>
  </si>
  <si>
    <t>Weighted average months worked</t>
  </si>
  <si>
    <t>Weighted average years worked</t>
  </si>
  <si>
    <t>Source: Early Childhood Council 2023 Wages and Salaries Summary Report</t>
  </si>
  <si>
    <t>Gap fill rows are used to bridge gaps in data from the ECC report. To calculate values for gap fill, the following steps are taken:</t>
  </si>
  <si>
    <t>1. Observed values from the start and end of the gap are used to place the line</t>
  </si>
  <si>
    <t>2. A straight-line calculation is applied to impute values for years in which no data was collected or published</t>
  </si>
  <si>
    <t>Gap fill values are presented with a dotted line on charts.</t>
  </si>
  <si>
    <t>Role</t>
  </si>
  <si>
    <t>Head Teacher</t>
  </si>
  <si>
    <t>Certificated Teacher</t>
  </si>
  <si>
    <t>Other Teaching Staff</t>
  </si>
  <si>
    <t>Head Teacher - gap fill</t>
  </si>
  <si>
    <t>Certificated Teacher - gap fill</t>
  </si>
  <si>
    <t>Other Teaching Staff - gap fill</t>
  </si>
  <si>
    <t>FROM IDI:</t>
  </si>
  <si>
    <t>IRD_Year</t>
  </si>
  <si>
    <t>Average income in ECE</t>
  </si>
  <si>
    <t>Age group</t>
  </si>
  <si>
    <t># population</t>
  </si>
  <si>
    <t># ECE workforce</t>
  </si>
  <si>
    <t>% population</t>
  </si>
  <si>
    <t>% ECE workforce</t>
  </si>
  <si>
    <t>15-24 years</t>
  </si>
  <si>
    <t>Population</t>
  </si>
  <si>
    <t>25-29 Years</t>
  </si>
  <si>
    <t>30-34 Years</t>
  </si>
  <si>
    <t>35-39 Years</t>
  </si>
  <si>
    <t>40-44 Years</t>
  </si>
  <si>
    <t>45-49 Years</t>
  </si>
  <si>
    <t>50-54 Years</t>
  </si>
  <si>
    <t>55-59 Years</t>
  </si>
  <si>
    <t>60-64 Years</t>
  </si>
  <si>
    <t>65-69 Years</t>
  </si>
  <si>
    <t>70+ years</t>
  </si>
  <si>
    <t>Age Group</t>
  </si>
  <si>
    <t># Population</t>
  </si>
  <si>
    <t># workforce</t>
  </si>
  <si>
    <t>% workforce</t>
  </si>
  <si>
    <t>15-24 Years</t>
  </si>
  <si>
    <t>70+ Years</t>
  </si>
  <si>
    <t>15-24</t>
  </si>
  <si>
    <t>25-29</t>
  </si>
  <si>
    <t>30-34</t>
  </si>
  <si>
    <t>35-39</t>
  </si>
  <si>
    <t>40-44</t>
  </si>
  <si>
    <t>45-49</t>
  </si>
  <si>
    <t>50-54</t>
  </si>
  <si>
    <t>55-59</t>
  </si>
  <si>
    <t>60-64</t>
  </si>
  <si>
    <t>65-69</t>
  </si>
  <si>
    <t>70+</t>
  </si>
  <si>
    <t>Census year</t>
  </si>
  <si>
    <t># Under 5s</t>
  </si>
  <si>
    <t># General population</t>
  </si>
  <si>
    <t># Enrolled ECE learners</t>
  </si>
  <si>
    <t># ECE workforce*</t>
  </si>
  <si>
    <t>% Under 5s</t>
  </si>
  <si>
    <t>% General population</t>
  </si>
  <si>
    <t>% Enrolled ECE learners</t>
  </si>
  <si>
    <t>Māori</t>
  </si>
  <si>
    <t>Middle Eastern/Latin American/African</t>
  </si>
  <si>
    <t>Other Ethnicity</t>
  </si>
  <si>
    <t>Pacific Peoples</t>
  </si>
  <si>
    <t>Reference populations</t>
  </si>
  <si>
    <t>Total people</t>
  </si>
  <si>
    <t>Under 5s</t>
  </si>
  <si>
    <t>Enrolled ECE learners</t>
  </si>
  <si>
    <t>* ethnicity data for the ECE workforce has only been published since 2019</t>
  </si>
  <si>
    <t>Comparative breakdown of ethnic identities in the population, the ECE workforce, and enrolled sub-degree ECE learners.</t>
  </si>
  <si>
    <t># people</t>
  </si>
  <si>
    <t>% of people</t>
  </si>
  <si>
    <t>Published ethnicity data for the ECE workforce begins in 2019.</t>
  </si>
  <si>
    <t>Highest qual level of ECE workforce compared to general population</t>
  </si>
  <si>
    <t>Sourced from Stats NZ Integrated Data Infrastructure - Census collection (2023 census)</t>
  </si>
  <si>
    <t>Highest qual level</t>
  </si>
  <si>
    <t>None</t>
  </si>
  <si>
    <t>Lv1-2</t>
  </si>
  <si>
    <t>Lv3-4</t>
  </si>
  <si>
    <t>Lv5-6</t>
  </si>
  <si>
    <t>Lv7 / Degree</t>
  </si>
  <si>
    <t>Postgrad / Honours</t>
  </si>
  <si>
    <t>Master's</t>
  </si>
  <si>
    <t>Doctorate</t>
  </si>
  <si>
    <t>Unknown</t>
  </si>
  <si>
    <t>Qualified staff by service type</t>
  </si>
  <si>
    <t>Sourced from Ministry of Education - Education Counts ECE Census 2024</t>
  </si>
  <si>
    <t>Service Type</t>
  </si>
  <si>
    <t>Required threshold</t>
  </si>
  <si>
    <t>Casual
 Education &amp;
 Care</t>
  </si>
  <si>
    <t>Alt text:</t>
  </si>
  <si>
    <t>Correspondence
 School</t>
  </si>
  <si>
    <t>Chart showing the percentage of each service type's workforce that held recognised qualifications in each selected year, compared to the 50 percent minimum qualification rate specified in the regulations.</t>
  </si>
  <si>
    <t>Education &amp;
 Care</t>
  </si>
  <si>
    <t>Home-based</t>
  </si>
  <si>
    <t>Hospital-based</t>
  </si>
  <si>
    <t>Clustered column chart with legend colours marking service types, and a dotted black line marking the threshold requred in regulations (50%).</t>
  </si>
  <si>
    <t>Table for review purposes</t>
  </si>
  <si>
    <t>Not
 Qualified</t>
  </si>
  <si>
    <t>Qualified</t>
  </si>
  <si>
    <t>Status</t>
  </si>
  <si>
    <t>&lt;&lt;- for review purposes only</t>
  </si>
  <si>
    <t>Not Qualified</t>
  </si>
  <si>
    <t>Proportion of staff qualified over time</t>
  </si>
  <si>
    <t>Alternate table fully aggregated by year</t>
  </si>
  <si>
    <t>Summary</t>
  </si>
  <si>
    <t>% qualified</t>
  </si>
  <si>
    <t>Regulated threshold</t>
  </si>
  <si>
    <t>Enrolments in early childhood education - pre-service tertiary qualifications</t>
  </si>
  <si>
    <t>Sourced from Ministry of Education - Education Counts &gt; Tertiary Participation statistics</t>
  </si>
  <si>
    <t>Numbers are rounded to the nearest 5, and where there are fewer than 5 learners/completers, may be reported as zero.</t>
  </si>
  <si>
    <t>Detailed field of study</t>
  </si>
  <si>
    <t>Level 2 Certificates</t>
  </si>
  <si>
    <t>Level 3 Certificates</t>
  </si>
  <si>
    <t>Level 4 Certificates</t>
  </si>
  <si>
    <t>Level 5-7 Certificates and Diplomas</t>
  </si>
  <si>
    <t>Level 7 Bachelor's Degrees</t>
  </si>
  <si>
    <t>Level 7 Graduate Certificates and Diplomas</t>
  </si>
  <si>
    <t>Level 8 Honours, Post-graduate Certificates, and Post-graduate Diplomas</t>
  </si>
  <si>
    <t>Level 9 Master's Degrees</t>
  </si>
  <si>
    <t>Level 10 Doctorates</t>
  </si>
  <si>
    <t>Completions</t>
  </si>
  <si>
    <t>Teacher Education - Early Childhood (Pre-Service)</t>
  </si>
  <si>
    <t>Bilingual Early Childhood Teacher Training (Pre-Service)</t>
  </si>
  <si>
    <t>Immersion Early Childhood Teacher Training (Pre-Service)</t>
  </si>
  <si>
    <t>Enrolments</t>
  </si>
  <si>
    <t>Summary - enrolments and completions in all early childhood teacher education fields</t>
  </si>
  <si>
    <t>All early childhood fields</t>
  </si>
  <si>
    <t>All early childhood teacher education fields</t>
  </si>
  <si>
    <t>Pathways that people might take on their way to joining the early childhood education industry</t>
  </si>
  <si>
    <t>NOTE</t>
  </si>
  <si>
    <r>
      <t xml:space="preserve">Pathways between qualification levels and the workforce are informed by the indicated purposes of programmes offered at each level, as reported to NZQA in the </t>
    </r>
    <r>
      <rPr>
        <b/>
        <i/>
        <sz val="11"/>
        <color rgb="FFFF0000"/>
        <rFont val="Aptos Narrow"/>
        <family val="2"/>
        <scheme val="minor"/>
      </rPr>
      <t>QCS</t>
    </r>
    <r>
      <rPr>
        <i/>
        <sz val="11"/>
        <color rgb="FFFF0000"/>
        <rFont val="Aptos Narrow"/>
        <family val="2"/>
        <scheme val="minor"/>
      </rPr>
      <t xml:space="preserve"> </t>
    </r>
    <r>
      <rPr>
        <i/>
        <sz val="11"/>
        <rFont val="Aptos Narrow"/>
        <family val="2"/>
        <scheme val="minor"/>
      </rPr>
      <t>dataset.</t>
    </r>
  </si>
  <si>
    <t>The percentage values are used to determine the width of a pathway at its beginning and end points on the graphic, and in most cases are not statistically informed. 
They are intended to give a general idea of the pathways that a person who intends to join the early childhood education industry might take.</t>
  </si>
  <si>
    <t>From</t>
  </si>
  <si>
    <t>From %</t>
  </si>
  <si>
    <t>To</t>
  </si>
  <si>
    <t>To %</t>
  </si>
  <si>
    <t>Lv2</t>
  </si>
  <si>
    <t>Lv3</t>
  </si>
  <si>
    <t>Lv4</t>
  </si>
  <si>
    <t>Workforce</t>
  </si>
  <si>
    <t>Lv7 / Bachelor's Degree</t>
  </si>
  <si>
    <t>Post-graduate</t>
  </si>
  <si>
    <t>Post-grad qualifications and research</t>
  </si>
  <si>
    <t>New or returning to workforce</t>
  </si>
  <si>
    <t>Other education sector industries</t>
  </si>
  <si>
    <t>Other industries (not education)</t>
  </si>
  <si>
    <t>School</t>
  </si>
  <si>
    <t>Comparative frequency of injuries resulting in more than 1 week away from work between preschool education and the overall workforce</t>
  </si>
  <si>
    <t>Retrieved from Stats NZ Integrated Data Infrastructure on 24 April 2025</t>
  </si>
  <si>
    <t>Total ACC claims</t>
  </si>
  <si>
    <t>Total ACC claims resulting in being fully unfit for work</t>
  </si>
  <si>
    <t>Total claims resulting in less than a week off work</t>
  </si>
  <si>
    <t>Total claims resulting in &gt; 1 week away from work</t>
  </si>
  <si>
    <t>Total ECE ACC claims</t>
  </si>
  <si>
    <t>ECE claims categorised fully unfit for work</t>
  </si>
  <si>
    <t>ECE claims resulting in less than a week off work</t>
  </si>
  <si>
    <t>ECE claims resulting in &gt; 1 week away from work</t>
  </si>
  <si>
    <t>Time off following an injury at work for ECE workers</t>
  </si>
  <si>
    <t>Number of claims</t>
  </si>
  <si>
    <t>Days away from work</t>
  </si>
  <si>
    <t>none</t>
  </si>
  <si>
    <t>1 day</t>
  </si>
  <si>
    <t>Less than 1 week</t>
  </si>
  <si>
    <t>1-4 weeks</t>
  </si>
  <si>
    <t>More than 1 month</t>
  </si>
  <si>
    <t>Number of licensed places for each service type, by region, in 2024</t>
  </si>
  <si>
    <t>Licensed Places</t>
  </si>
  <si>
    <t>Auckland Region</t>
  </si>
  <si>
    <t>Casual Education &amp; Care</t>
  </si>
  <si>
    <t>Playcentre</t>
  </si>
  <si>
    <t>Bay of Plenty Region</t>
  </si>
  <si>
    <t>Canterbury Region</t>
  </si>
  <si>
    <t>Chatham Is. County</t>
  </si>
  <si>
    <t>Gisborne Region</t>
  </si>
  <si>
    <t>Hawke's Bay Region</t>
  </si>
  <si>
    <t>Manawatū-Whanganui Region</t>
  </si>
  <si>
    <t>Marlborough Region</t>
  </si>
  <si>
    <t>Nelson Region</t>
  </si>
  <si>
    <t>Northland Region</t>
  </si>
  <si>
    <t>Otago Region</t>
  </si>
  <si>
    <t>Southland Region</t>
  </si>
  <si>
    <t>Taranaki Region</t>
  </si>
  <si>
    <t>Tasman Region</t>
  </si>
  <si>
    <t>Waikato Region</t>
  </si>
  <si>
    <t>Wellington Region</t>
  </si>
  <si>
    <t>West Coast Region</t>
  </si>
  <si>
    <t>Number of children participating in each service type, by region, in 2024</t>
  </si>
  <si>
    <t>Children Participating</t>
  </si>
  <si>
    <t>Kōhanga Reo</t>
  </si>
  <si>
    <t>Manawatū-Wanganui Region</t>
  </si>
  <si>
    <t>Correspondence School</t>
  </si>
  <si>
    <t>Not applicable / Unknown</t>
  </si>
  <si>
    <t>Estimated Resident Population by Age and Sex (1991+) (Annual-Dec)</t>
  </si>
  <si>
    <t>As at</t>
  </si>
  <si>
    <t>Male</t>
  </si>
  <si>
    <t>Female</t>
  </si>
  <si>
    <t>Total All Ages</t>
  </si>
  <si>
    <t>Table information:</t>
  </si>
  <si>
    <t>Units:</t>
  </si>
  <si>
    <t>Number, Magnitude = Units</t>
  </si>
  <si>
    <t>Footnotes:</t>
  </si>
  <si>
    <t>Due to rounding, individual figures may not sum to stated totals.</t>
  </si>
  <si>
    <t>All population estimates at 30 June 2023 and beyond are based on the 2023 Estimated Resident Population (ERP).</t>
  </si>
  <si>
    <t>Population estimates after 30 June 2018 have been revised to incorporate results from the 2023 Census and 2023 Post-enumeration Survey.</t>
  </si>
  <si>
    <t>Estimates flagged as provisional are subject to revision, mainly to incorporate revisions to external (international) migration and birth estimates.</t>
  </si>
  <si>
    <t>Symbols:</t>
  </si>
  <si>
    <t>.. figure not available</t>
  </si>
  <si>
    <t>C: Confidential</t>
  </si>
  <si>
    <t>E: Early Estimate</t>
  </si>
  <si>
    <t>P: Provisional</t>
  </si>
  <si>
    <t>R: Revised</t>
  </si>
  <si>
    <t>S: Suppressed</t>
  </si>
  <si>
    <t>Status flags are not displayed</t>
  </si>
  <si>
    <t xml:space="preserve">Table reference: </t>
  </si>
  <si>
    <t>DPE058AA</t>
  </si>
  <si>
    <t>Last updated:</t>
  </si>
  <si>
    <t>Total All Ages: 19 August 2025 10:45am</t>
  </si>
  <si>
    <t>Source: Statistics New Zealand</t>
  </si>
  <si>
    <t>Contact: Information Centre</t>
  </si>
  <si>
    <t>Telephone: 0508 525 525</t>
  </si>
  <si>
    <t>Email:info@stats.govt.nz</t>
  </si>
  <si>
    <t>Injuries resulting in more than a week away from work</t>
  </si>
  <si>
    <t>#</t>
  </si>
  <si>
    <t>Sector</t>
  </si>
  <si>
    <t>Incapacity Type</t>
  </si>
  <si>
    <t>Time away from work</t>
  </si>
  <si>
    <t>Claims</t>
  </si>
  <si>
    <t>ACC claims resulting in being fully unfit for work</t>
  </si>
  <si>
    <t>Other sectors</t>
  </si>
  <si>
    <t>Fully Unfit</t>
  </si>
  <si>
    <t>ECE</t>
  </si>
  <si>
    <t>ECE enrolments in provider-based learning</t>
  </si>
  <si>
    <t>Sourced from Education Counts</t>
  </si>
  <si>
    <t>C2</t>
  </si>
  <si>
    <t>C3</t>
  </si>
  <si>
    <t>C4</t>
  </si>
  <si>
    <t>C&amp;D 5-7</t>
  </si>
  <si>
    <t>B7</t>
  </si>
  <si>
    <t>GC&amp;D 7</t>
  </si>
  <si>
    <t>Hons, PGC/PGD 8</t>
  </si>
  <si>
    <t>Masters 9</t>
  </si>
  <si>
    <t>Doctorate 10</t>
  </si>
  <si>
    <t>These data are from FOS_ENR.6 Education: Total &gt; Teacher Education: Total &gt; Teacher Education - Early Childhood (Pre-Service)</t>
  </si>
  <si>
    <t>02 - Tertiary participation | Education Counts</t>
  </si>
  <si>
    <t>Enrolments in provider-based learning by gender and course level</t>
  </si>
  <si>
    <t>Sex</t>
  </si>
  <si>
    <t>Level</t>
  </si>
  <si>
    <t>Count</t>
  </si>
  <si>
    <t># ECE</t>
  </si>
  <si>
    <t>% in our quals</t>
  </si>
  <si>
    <t>Est. ECE #</t>
  </si>
  <si>
    <t>Source</t>
  </si>
  <si>
    <t>F</t>
  </si>
  <si>
    <t>Estimate</t>
  </si>
  <si>
    <t>M</t>
  </si>
  <si>
    <t>GC&amp;D7</t>
  </si>
  <si>
    <t>Hons/PGC/PGD8</t>
  </si>
  <si>
    <t>M9</t>
  </si>
  <si>
    <t>D10</t>
  </si>
  <si>
    <t>Ministry of Education</t>
  </si>
  <si>
    <t>All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</si>
</sst>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quot;$&quot;#,##0.00;[Red]\-&quot;$&quot;#,##0.00"/>
    <numFmt numFmtId="165" formatCode="_-* #,##0.00_-;\-* #,##0.00_-;_-* &quot;-&quot;??_-;_-@_-"/>
    <numFmt numFmtId="166" formatCode="0.0%"/>
    <numFmt numFmtId="167" formatCode="0.0"/>
    <numFmt numFmtId="168" formatCode="###########0"/>
    <numFmt numFmtId="169" formatCode="#,###,###,###,###,###,###,##0"/>
    <numFmt numFmtId="170" formatCode="_-* #,##0_-;\-* #,##0_-;_-* &quot;-&quot;??_-;_-@_-"/>
  </numFmts>
  <fonts count="28">
    <font>
      <sz val="11"/>
      <color theme="1"/>
      <name val="Aptos Narrow"/>
      <family val="2"/>
      <scheme val="minor"/>
    </font>
    <font>
      <sz val="11"/>
      <color theme="1"/>
      <name val="Aptos Narrow"/>
      <family val="2"/>
      <scheme val="minor"/>
    </font>
    <font>
      <b/>
      <sz val="11"/>
      <color theme="0"/>
      <name val="Aptos Narrow"/>
      <family val="2"/>
      <scheme val="minor"/>
    </font>
    <font>
      <b/>
      <sz val="11"/>
      <color theme="1"/>
      <name val="Aptos Narrow"/>
      <family val="2"/>
      <scheme val="minor"/>
    </font>
    <font>
      <u/>
      <sz val="11"/>
      <color theme="10"/>
      <name val="Aptos Narrow"/>
      <family val="2"/>
      <scheme val="minor"/>
    </font>
    <font>
      <i/>
      <sz val="11"/>
      <color theme="1"/>
      <name val="Aptos Narrow"/>
      <family val="2"/>
      <scheme val="minor"/>
    </font>
    <font>
      <sz val="8"/>
      <name val="Aptos Narrow"/>
      <family val="2"/>
      <scheme val="minor"/>
    </font>
    <font>
      <sz val="11"/>
      <color indexed="8"/>
      <name val="Calibri"/>
      <family val="2"/>
    </font>
    <font>
      <b/>
      <sz val="11"/>
      <color theme="0"/>
      <name val="Calibri"/>
      <family val="2"/>
    </font>
    <font>
      <sz val="10"/>
      <name val="Arial"/>
      <family val="2"/>
    </font>
    <font>
      <b/>
      <i/>
      <sz val="11"/>
      <color theme="1"/>
      <name val="Aptos Narrow"/>
      <family val="2"/>
      <scheme val="minor"/>
    </font>
    <font>
      <b/>
      <i/>
      <sz val="11"/>
      <color rgb="FFFF0000"/>
      <name val="Aptos Narrow"/>
      <family val="2"/>
      <scheme val="minor"/>
    </font>
    <font>
      <i/>
      <sz val="11"/>
      <color rgb="FFFF0000"/>
      <name val="Aptos Narrow"/>
      <family val="2"/>
      <scheme val="minor"/>
    </font>
    <font>
      <i/>
      <sz val="11"/>
      <name val="Aptos Narrow"/>
      <family val="2"/>
      <scheme val="minor"/>
    </font>
    <font>
      <sz val="11"/>
      <color theme="0"/>
      <name val="Aptos Narrow"/>
      <family val="2"/>
      <scheme val="minor"/>
    </font>
    <font>
      <b/>
      <sz val="10"/>
      <color theme="0"/>
      <name val="Arial"/>
      <family val="2"/>
    </font>
    <font>
      <sz val="9.5"/>
      <name val="Albany AMT"/>
    </font>
    <font>
      <sz val="11"/>
      <name val="Aptos Narrow"/>
      <family val="2"/>
      <scheme val="minor"/>
    </font>
    <font>
      <b/>
      <sz val="9.5"/>
      <color theme="0"/>
      <name val="Albany AMT"/>
    </font>
    <font>
      <sz val="9.5"/>
      <color theme="1"/>
      <name val="Albany AMT"/>
    </font>
    <font>
      <b/>
      <sz val="9.5"/>
      <color theme="1"/>
      <name val="Albany AMT"/>
    </font>
    <font>
      <b/>
      <sz val="16"/>
      <color theme="1"/>
      <name val="Aptos Narrow"/>
      <family val="2"/>
      <scheme val="minor"/>
    </font>
    <font>
      <b/>
      <u/>
      <sz val="11"/>
      <color theme="1"/>
      <name val="Aptos Narrow"/>
      <family val="2"/>
      <scheme val="minor"/>
    </font>
    <font>
      <i/>
      <vertAlign val="superscript"/>
      <sz val="11"/>
      <color theme="1"/>
      <name val="Aptos Narrow"/>
      <family val="2"/>
      <scheme val="minor"/>
    </font>
    <font>
      <sz val="11"/>
      <color theme="1"/>
      <name val="Aptos Narrow"/>
      <family val="2"/>
    </font>
    <font>
      <b/>
      <sz val="16"/>
      <color theme="0"/>
      <name val="Aptos Narrow"/>
      <family val="2"/>
      <scheme val="minor"/>
    </font>
    <font>
      <sz val="16"/>
      <color theme="0"/>
      <name val="Aptos Narrow"/>
      <family val="2"/>
      <scheme val="minor"/>
    </font>
    <font>
      <b/>
      <sz val="20"/>
      <color rgb="FFFF0000"/>
      <name val="Aptos Narrow"/>
      <family val="2"/>
      <scheme val="minor"/>
    </font>
  </fonts>
  <fills count="14">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
      <patternFill patternType="solid">
        <fgColor theme="0" tint="-0.14999847407452621"/>
        <bgColor theme="0" tint="-0.14999847407452621"/>
      </patternFill>
    </fill>
    <fill>
      <patternFill patternType="solid">
        <fgColor rgb="FF522953"/>
        <bgColor indexed="64"/>
      </patternFill>
    </fill>
    <fill>
      <patternFill patternType="solid">
        <fgColor rgb="FFFFFFFF"/>
        <bgColor indexed="64"/>
      </patternFill>
    </fill>
    <fill>
      <patternFill patternType="solid">
        <fgColor theme="0"/>
        <bgColor indexed="64"/>
      </patternFill>
    </fill>
    <fill>
      <patternFill patternType="solid">
        <fgColor rgb="FF7030A0"/>
        <bgColor indexed="64"/>
      </patternFill>
    </fill>
    <fill>
      <patternFill patternType="solid">
        <fgColor theme="1"/>
        <bgColor indexed="64"/>
      </patternFill>
    </fill>
    <fill>
      <patternFill patternType="solid">
        <fgColor theme="9"/>
        <bgColor indexed="64"/>
      </patternFill>
    </fill>
    <fill>
      <patternFill patternType="solid">
        <fgColor theme="7" tint="-0.249977111117893"/>
        <bgColor indexed="64"/>
      </patternFill>
    </fill>
    <fill>
      <patternFill patternType="solid">
        <fgColor theme="0"/>
        <bgColor theme="0" tint="-0.14999847407452621"/>
      </patternFill>
    </fill>
    <fill>
      <patternFill patternType="solid">
        <fgColor theme="8" tint="0.79998168889431442"/>
        <bgColor indexed="64"/>
      </patternFill>
    </fill>
  </fills>
  <borders count="22">
    <border>
      <left/>
      <right/>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style="thin">
        <color theme="1"/>
      </top>
      <bottom style="thin">
        <color theme="1"/>
      </bottom>
      <diagonal/>
    </border>
    <border>
      <left style="thin">
        <color theme="4" tint="0.39997558519241921"/>
      </left>
      <right style="thin">
        <color theme="4" tint="0.39997558519241921"/>
      </right>
      <top/>
      <bottom/>
      <diagonal/>
    </border>
    <border>
      <left style="thin">
        <color indexed="64"/>
      </left>
      <right/>
      <top style="thin">
        <color theme="4" tint="0.39997558519241921"/>
      </top>
      <bottom style="thin">
        <color theme="4" tint="0.39997558519241921"/>
      </bottom>
      <diagonal/>
    </border>
    <border>
      <left/>
      <right style="thin">
        <color indexed="64"/>
      </right>
      <top style="thin">
        <color theme="4" tint="0.39997558519241921"/>
      </top>
      <bottom style="thin">
        <color theme="4" tint="0.39997558519241921"/>
      </bottom>
      <diagonal/>
    </border>
    <border>
      <left style="thin">
        <color indexed="64"/>
      </left>
      <right/>
      <top style="thin">
        <color theme="4" tint="0.39997558519241921"/>
      </top>
      <bottom style="thin">
        <color indexed="64"/>
      </bottom>
      <diagonal/>
    </border>
    <border>
      <left/>
      <right/>
      <top style="thin">
        <color theme="4" tint="0.39997558519241921"/>
      </top>
      <bottom style="thin">
        <color indexed="64"/>
      </bottom>
      <diagonal/>
    </border>
    <border>
      <left/>
      <right style="thin">
        <color indexed="64"/>
      </right>
      <top style="thin">
        <color theme="4" tint="0.39997558519241921"/>
      </top>
      <bottom style="thin">
        <color indexed="64"/>
      </bottom>
      <diagonal/>
    </border>
    <border>
      <left/>
      <right/>
      <top/>
      <bottom style="thin">
        <color theme="4" tint="0.39997558519241921"/>
      </bottom>
      <diagonal/>
    </border>
    <border>
      <left/>
      <right/>
      <top style="thin">
        <color theme="4" tint="0.39997558519241921"/>
      </top>
      <bottom/>
      <diagonal/>
    </border>
    <border>
      <left style="thin">
        <color rgb="FFB0B7BB"/>
      </left>
      <right style="thin">
        <color rgb="FFB0B7BB"/>
      </right>
      <top style="thin">
        <color rgb="FFB0B7BB"/>
      </top>
      <bottom/>
      <diagonal/>
    </border>
    <border>
      <left style="thin">
        <color rgb="FFB0B7BB"/>
      </left>
      <right style="thin">
        <color rgb="FFB0B7BB"/>
      </right>
      <top style="thin">
        <color rgb="FFB0B7BB"/>
      </top>
      <bottom style="thin">
        <color rgb="FFB0B7BB"/>
      </bottom>
      <diagonal/>
    </border>
    <border>
      <left style="thin">
        <color rgb="FFB0B7BB"/>
      </left>
      <right style="thin">
        <color rgb="FFB0B7BB"/>
      </right>
      <top/>
      <bottom style="thin">
        <color rgb="FFB0B7BB"/>
      </bottom>
      <diagonal/>
    </border>
    <border>
      <left style="thin">
        <color rgb="FFC1C1C1"/>
      </left>
      <right style="thin">
        <color rgb="FFC1C1C1"/>
      </right>
      <top style="thin">
        <color rgb="FFC1C1C1"/>
      </top>
      <bottom style="thin">
        <color rgb="FFC1C1C1"/>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B0B7BB"/>
      </left>
      <right/>
      <top style="thin">
        <color rgb="FFB0B7BB"/>
      </top>
      <bottom style="thin">
        <color rgb="FFB0B7BB"/>
      </bottom>
      <diagonal/>
    </border>
    <border>
      <left/>
      <right style="thin">
        <color rgb="FFB0B7BB"/>
      </right>
      <top style="thin">
        <color rgb="FFB0B7BB"/>
      </top>
      <bottom style="thin">
        <color rgb="FFB0B7BB"/>
      </bottom>
      <diagonal/>
    </border>
  </borders>
  <cellStyleXfs count="5">
    <xf numFmtId="0" fontId="0" fillId="0" borderId="0"/>
    <xf numFmtId="9" fontId="1" fillId="0" borderId="0" applyFont="0" applyFill="0" applyBorder="0" applyAlignment="0" applyProtection="0"/>
    <xf numFmtId="0" fontId="4" fillId="0" borderId="0" applyNumberFormat="0" applyFill="0" applyBorder="0" applyAlignment="0" applyProtection="0"/>
    <xf numFmtId="0" fontId="9" fillId="0" borderId="0"/>
    <xf numFmtId="165" fontId="1" fillId="0" borderId="0" applyFont="0" applyFill="0" applyBorder="0" applyAlignment="0" applyProtection="0"/>
  </cellStyleXfs>
  <cellXfs count="140">
    <xf numFmtId="0" fontId="0" fillId="0" borderId="0" xfId="0"/>
    <xf numFmtId="0" fontId="0" fillId="0" borderId="0" xfId="0" applyAlignment="1">
      <alignment horizontal="left" vertical="top" wrapText="1"/>
    </xf>
    <xf numFmtId="0" fontId="0" fillId="0" borderId="0" xfId="0" applyAlignment="1">
      <alignment horizontal="left" vertical="top"/>
    </xf>
    <xf numFmtId="0" fontId="4" fillId="0" borderId="0" xfId="2" applyAlignment="1">
      <alignment horizontal="left" vertical="top" wrapText="1"/>
    </xf>
    <xf numFmtId="9" fontId="0" fillId="0" borderId="0" xfId="1" applyFont="1"/>
    <xf numFmtId="166" fontId="0" fillId="0" borderId="0" xfId="1" applyNumberFormat="1" applyFont="1"/>
    <xf numFmtId="0" fontId="0" fillId="0" borderId="0" xfId="0" applyAlignment="1">
      <alignment vertical="top" wrapText="1"/>
    </xf>
    <xf numFmtId="0" fontId="2" fillId="0" borderId="0" xfId="0" applyFont="1"/>
    <xf numFmtId="166" fontId="0" fillId="0" borderId="0" xfId="1" applyNumberFormat="1" applyFont="1" applyFill="1" applyBorder="1"/>
    <xf numFmtId="166" fontId="0" fillId="0" borderId="0" xfId="1" applyNumberFormat="1" applyFont="1" applyFill="1"/>
    <xf numFmtId="10" fontId="0" fillId="0" borderId="0" xfId="1" applyNumberFormat="1" applyFont="1"/>
    <xf numFmtId="0" fontId="0" fillId="0" borderId="0" xfId="0" applyAlignment="1">
      <alignment horizontal="center"/>
    </xf>
    <xf numFmtId="10" fontId="0" fillId="0" borderId="0" xfId="0" applyNumberFormat="1"/>
    <xf numFmtId="0" fontId="3" fillId="0" borderId="0" xfId="0" applyFont="1"/>
    <xf numFmtId="0" fontId="3" fillId="0" borderId="0" xfId="0" applyFont="1" applyAlignment="1">
      <alignment horizontal="center"/>
    </xf>
    <xf numFmtId="0" fontId="2" fillId="0" borderId="5" xfId="0" applyFont="1" applyBorder="1"/>
    <xf numFmtId="166" fontId="0" fillId="0" borderId="0" xfId="0" applyNumberFormat="1"/>
    <xf numFmtId="0" fontId="3" fillId="4" borderId="4" xfId="0" applyFont="1" applyFill="1" applyBorder="1" applyAlignment="1">
      <alignment vertical="top"/>
    </xf>
    <xf numFmtId="0" fontId="3" fillId="0" borderId="4" xfId="0" applyFont="1" applyBorder="1" applyAlignment="1">
      <alignment vertical="top"/>
    </xf>
    <xf numFmtId="0" fontId="4" fillId="0" borderId="0" xfId="2"/>
    <xf numFmtId="0" fontId="7" fillId="3" borderId="6" xfId="0" applyFont="1" applyFill="1" applyBorder="1"/>
    <xf numFmtId="0" fontId="7" fillId="3" borderId="2" xfId="0" applyFont="1" applyFill="1" applyBorder="1"/>
    <xf numFmtId="0" fontId="7" fillId="3" borderId="7" xfId="0" applyFont="1" applyFill="1" applyBorder="1"/>
    <xf numFmtId="0" fontId="7" fillId="0" borderId="6" xfId="0" applyFont="1" applyBorder="1"/>
    <xf numFmtId="0" fontId="7" fillId="0" borderId="2" xfId="0" applyFont="1" applyBorder="1"/>
    <xf numFmtId="0" fontId="7" fillId="0" borderId="7" xfId="0" applyFont="1" applyBorder="1"/>
    <xf numFmtId="0" fontId="7" fillId="0" borderId="8" xfId="0" applyFont="1" applyBorder="1"/>
    <xf numFmtId="0" fontId="7" fillId="0" borderId="9" xfId="0" applyFont="1" applyBorder="1"/>
    <xf numFmtId="0" fontId="7" fillId="0" borderId="10" xfId="0" applyFont="1" applyBorder="1"/>
    <xf numFmtId="0" fontId="8" fillId="2" borderId="1" xfId="0" applyFont="1" applyFill="1" applyBorder="1"/>
    <xf numFmtId="0" fontId="8" fillId="2" borderId="2" xfId="0" applyFont="1" applyFill="1" applyBorder="1"/>
    <xf numFmtId="0" fontId="8" fillId="2" borderId="3" xfId="0" applyFont="1" applyFill="1" applyBorder="1"/>
    <xf numFmtId="0" fontId="8" fillId="2" borderId="0" xfId="0" applyFont="1" applyFill="1"/>
    <xf numFmtId="9" fontId="0" fillId="0" borderId="0" xfId="0" applyNumberFormat="1"/>
    <xf numFmtId="0" fontId="0" fillId="0" borderId="0" xfId="0" applyAlignment="1">
      <alignment horizontal="center" vertical="center"/>
    </xf>
    <xf numFmtId="0" fontId="0" fillId="0" borderId="0" xfId="0" applyAlignment="1">
      <alignment horizontal="center" vertical="center" wrapText="1"/>
    </xf>
    <xf numFmtId="9" fontId="0" fillId="0" borderId="0" xfId="1" applyFont="1" applyAlignment="1">
      <alignment horizontal="center"/>
    </xf>
    <xf numFmtId="3" fontId="9" fillId="0" borderId="0" xfId="3" applyNumberFormat="1" applyAlignment="1">
      <alignment horizontal="right" vertical="top" indent="1"/>
    </xf>
    <xf numFmtId="9" fontId="0" fillId="0" borderId="0" xfId="0" applyNumberFormat="1" applyAlignment="1">
      <alignment horizontal="center" vertical="center"/>
    </xf>
    <xf numFmtId="10" fontId="0" fillId="0" borderId="0" xfId="0" applyNumberFormat="1" applyAlignment="1">
      <alignment horizontal="center" vertical="center"/>
    </xf>
    <xf numFmtId="0" fontId="10" fillId="0" borderId="0" xfId="0" applyFont="1"/>
    <xf numFmtId="0" fontId="5" fillId="0" borderId="0" xfId="0" applyFont="1"/>
    <xf numFmtId="0" fontId="3" fillId="4" borderId="0" xfId="0" applyFont="1" applyFill="1" applyAlignment="1">
      <alignment vertical="top"/>
    </xf>
    <xf numFmtId="167" fontId="0" fillId="0" borderId="0" xfId="0" applyNumberFormat="1"/>
    <xf numFmtId="0" fontId="3" fillId="0" borderId="0" xfId="0" applyFont="1" applyAlignment="1">
      <alignment vertical="top"/>
    </xf>
    <xf numFmtId="0" fontId="15" fillId="0" borderId="0" xfId="0" applyFont="1" applyAlignment="1">
      <alignment vertical="center"/>
    </xf>
    <xf numFmtId="0" fontId="15" fillId="5" borderId="14" xfId="0" applyFont="1" applyFill="1" applyBorder="1" applyAlignment="1">
      <alignment horizontal="center"/>
    </xf>
    <xf numFmtId="0" fontId="18" fillId="5" borderId="14" xfId="0" applyFont="1" applyFill="1" applyBorder="1" applyAlignment="1">
      <alignment horizontal="left" vertical="top"/>
    </xf>
    <xf numFmtId="169" fontId="19" fillId="6" borderId="16" xfId="0" applyNumberFormat="1" applyFont="1" applyFill="1" applyBorder="1" applyAlignment="1">
      <alignment horizontal="right"/>
    </xf>
    <xf numFmtId="169" fontId="19" fillId="6" borderId="16" xfId="0" applyNumberFormat="1" applyFont="1" applyFill="1" applyBorder="1" applyAlignment="1">
      <alignment horizontal="right" wrapText="1"/>
    </xf>
    <xf numFmtId="169" fontId="20" fillId="6" borderId="16" xfId="0" applyNumberFormat="1" applyFont="1" applyFill="1" applyBorder="1" applyAlignment="1">
      <alignment horizontal="right"/>
    </xf>
    <xf numFmtId="169" fontId="20" fillId="6" borderId="16" xfId="0" applyNumberFormat="1" applyFont="1" applyFill="1" applyBorder="1" applyAlignment="1">
      <alignment horizontal="right" wrapText="1"/>
    </xf>
    <xf numFmtId="0" fontId="14" fillId="0" borderId="0" xfId="0" applyFont="1"/>
    <xf numFmtId="0" fontId="16" fillId="0" borderId="0" xfId="0" applyFont="1" applyAlignment="1">
      <alignment horizontal="left" vertical="top"/>
    </xf>
    <xf numFmtId="0" fontId="17" fillId="0" borderId="0" xfId="0" applyFont="1"/>
    <xf numFmtId="169" fontId="16" fillId="0" borderId="0" xfId="0" applyNumberFormat="1" applyFont="1" applyAlignment="1">
      <alignment horizontal="right"/>
    </xf>
    <xf numFmtId="9" fontId="17" fillId="0" borderId="0" xfId="1" applyFont="1" applyFill="1" applyBorder="1"/>
    <xf numFmtId="9" fontId="17" fillId="0" borderId="0" xfId="1" applyFont="1" applyFill="1"/>
    <xf numFmtId="169" fontId="17" fillId="0" borderId="0" xfId="0" applyNumberFormat="1" applyFont="1"/>
    <xf numFmtId="0" fontId="21" fillId="0" borderId="0" xfId="0" applyFont="1"/>
    <xf numFmtId="9" fontId="17" fillId="0" borderId="0" xfId="0" applyNumberFormat="1" applyFont="1"/>
    <xf numFmtId="0" fontId="15" fillId="2" borderId="11" xfId="0" applyFont="1" applyFill="1" applyBorder="1" applyAlignment="1">
      <alignment vertical="center"/>
    </xf>
    <xf numFmtId="0" fontId="2" fillId="2" borderId="11" xfId="0" applyFont="1" applyFill="1" applyBorder="1"/>
    <xf numFmtId="0" fontId="16" fillId="3" borderId="2" xfId="0" applyFont="1" applyFill="1" applyBorder="1" applyAlignment="1">
      <alignment horizontal="left" vertical="top"/>
    </xf>
    <xf numFmtId="0" fontId="17" fillId="3" borderId="2" xfId="0" applyFont="1" applyFill="1" applyBorder="1"/>
    <xf numFmtId="9" fontId="17" fillId="3" borderId="2" xfId="1" applyFont="1" applyFill="1" applyBorder="1"/>
    <xf numFmtId="9" fontId="17" fillId="3" borderId="2" xfId="0" applyNumberFormat="1" applyFont="1" applyFill="1" applyBorder="1"/>
    <xf numFmtId="0" fontId="16" fillId="0" borderId="2" xfId="0" applyFont="1" applyBorder="1" applyAlignment="1">
      <alignment horizontal="left" vertical="top"/>
    </xf>
    <xf numFmtId="0" fontId="17" fillId="0" borderId="2" xfId="0" applyFont="1" applyBorder="1"/>
    <xf numFmtId="9" fontId="17" fillId="0" borderId="2" xfId="1" applyFont="1" applyBorder="1"/>
    <xf numFmtId="9" fontId="17" fillId="0" borderId="2" xfId="0" applyNumberFormat="1" applyFont="1" applyBorder="1"/>
    <xf numFmtId="0" fontId="17" fillId="0" borderId="12" xfId="0" applyFont="1" applyBorder="1"/>
    <xf numFmtId="9" fontId="17" fillId="0" borderId="12" xfId="1" applyFont="1" applyBorder="1"/>
    <xf numFmtId="9" fontId="17" fillId="0" borderId="12" xfId="0" applyNumberFormat="1" applyFont="1" applyBorder="1"/>
    <xf numFmtId="16" fontId="0" fillId="0" borderId="0" xfId="0" applyNumberFormat="1"/>
    <xf numFmtId="0" fontId="0" fillId="0" borderId="17" xfId="0" applyBorder="1" applyAlignment="1">
      <alignment vertical="top" wrapText="1"/>
    </xf>
    <xf numFmtId="0" fontId="0" fillId="0" borderId="18" xfId="0" applyBorder="1" applyAlignment="1">
      <alignment vertical="top" wrapText="1"/>
    </xf>
    <xf numFmtId="0" fontId="0" fillId="0" borderId="19" xfId="0" applyBorder="1" applyAlignment="1">
      <alignment vertical="top" wrapText="1"/>
    </xf>
    <xf numFmtId="0" fontId="0" fillId="7" borderId="18" xfId="0" applyFill="1" applyBorder="1" applyAlignment="1">
      <alignment vertical="top" wrapText="1"/>
    </xf>
    <xf numFmtId="0" fontId="0" fillId="7" borderId="17" xfId="0" applyFill="1" applyBorder="1" applyAlignment="1">
      <alignment vertical="top" wrapText="1"/>
    </xf>
    <xf numFmtId="10" fontId="0" fillId="0" borderId="0" xfId="1" applyNumberFormat="1" applyFont="1" applyAlignment="1">
      <alignment horizontal="center"/>
    </xf>
    <xf numFmtId="10" fontId="3" fillId="0" borderId="0" xfId="1" applyNumberFormat="1" applyFont="1" applyAlignment="1">
      <alignment horizontal="center"/>
    </xf>
    <xf numFmtId="0" fontId="10" fillId="0" borderId="0" xfId="0" applyFont="1" applyAlignment="1">
      <alignment horizontal="left"/>
    </xf>
    <xf numFmtId="0" fontId="3" fillId="0" borderId="0" xfId="0" applyFont="1" applyAlignment="1">
      <alignment horizontal="left"/>
    </xf>
    <xf numFmtId="0" fontId="22" fillId="0" borderId="0" xfId="0" applyFont="1" applyAlignment="1">
      <alignment horizontal="left"/>
    </xf>
    <xf numFmtId="0" fontId="3" fillId="0" borderId="0" xfId="0" applyFont="1" applyAlignment="1">
      <alignment horizontal="right" vertical="center" wrapText="1"/>
    </xf>
    <xf numFmtId="2" fontId="0" fillId="0" borderId="0" xfId="0" applyNumberFormat="1"/>
    <xf numFmtId="0" fontId="22" fillId="0" borderId="0" xfId="0" applyFont="1"/>
    <xf numFmtId="4" fontId="0" fillId="0" borderId="0" xfId="0" applyNumberFormat="1"/>
    <xf numFmtId="4" fontId="3" fillId="0" borderId="0" xfId="0" applyNumberFormat="1" applyFont="1"/>
    <xf numFmtId="4" fontId="3" fillId="0" borderId="0" xfId="0" applyNumberFormat="1" applyFont="1" applyAlignment="1">
      <alignment horizontal="center"/>
    </xf>
    <xf numFmtId="4" fontId="0" fillId="0" borderId="0" xfId="1" applyNumberFormat="1" applyFont="1"/>
    <xf numFmtId="10" fontId="0" fillId="0" borderId="0" xfId="1" applyNumberFormat="1" applyFont="1" applyBorder="1" applyAlignment="1">
      <alignment horizontal="center"/>
    </xf>
    <xf numFmtId="0" fontId="3" fillId="0" borderId="0" xfId="0" applyFont="1" applyAlignment="1">
      <alignment horizontal="center" vertical="center" wrapText="1"/>
    </xf>
    <xf numFmtId="3" fontId="0" fillId="0" borderId="0" xfId="1" applyNumberFormat="1" applyFont="1" applyBorder="1" applyAlignment="1">
      <alignment horizontal="center"/>
    </xf>
    <xf numFmtId="3" fontId="0" fillId="0" borderId="0" xfId="0" applyNumberFormat="1" applyAlignment="1">
      <alignment horizontal="center"/>
    </xf>
    <xf numFmtId="0" fontId="5" fillId="0" borderId="0" xfId="0" applyFont="1" applyAlignment="1">
      <alignment horizontal="center"/>
    </xf>
    <xf numFmtId="0" fontId="0" fillId="0" borderId="0" xfId="0" applyAlignment="1">
      <alignment horizontal="right"/>
    </xf>
    <xf numFmtId="0" fontId="25" fillId="8" borderId="0" xfId="0" applyFont="1" applyFill="1"/>
    <xf numFmtId="10" fontId="25" fillId="8" borderId="0" xfId="1" applyNumberFormat="1" applyFont="1" applyFill="1" applyAlignment="1">
      <alignment horizontal="center"/>
    </xf>
    <xf numFmtId="0" fontId="14" fillId="9" borderId="0" xfId="0" applyFont="1" applyFill="1" applyAlignment="1">
      <alignment vertical="center" textRotation="90"/>
    </xf>
    <xf numFmtId="0" fontId="0" fillId="9" borderId="0" xfId="0" applyFill="1"/>
    <xf numFmtId="0" fontId="2" fillId="9" borderId="0" xfId="0" applyFont="1" applyFill="1" applyAlignment="1">
      <alignment horizontal="right"/>
    </xf>
    <xf numFmtId="0" fontId="14" fillId="10" borderId="0" xfId="0" applyFont="1" applyFill="1" applyAlignment="1">
      <alignment vertical="center" textRotation="90"/>
    </xf>
    <xf numFmtId="0" fontId="0" fillId="10" borderId="0" xfId="0" applyFill="1"/>
    <xf numFmtId="0" fontId="14" fillId="10" borderId="0" xfId="0" applyFont="1" applyFill="1"/>
    <xf numFmtId="0" fontId="2" fillId="10" borderId="0" xfId="0" applyFont="1" applyFill="1" applyAlignment="1">
      <alignment horizontal="right"/>
    </xf>
    <xf numFmtId="0" fontId="14" fillId="11" borderId="0" xfId="0" applyFont="1" applyFill="1" applyAlignment="1">
      <alignment vertical="center" textRotation="90"/>
    </xf>
    <xf numFmtId="0" fontId="0" fillId="11" borderId="0" xfId="0" applyFill="1"/>
    <xf numFmtId="0" fontId="2" fillId="11" borderId="0" xfId="0" applyFont="1" applyFill="1" applyAlignment="1">
      <alignment horizontal="right"/>
    </xf>
    <xf numFmtId="9" fontId="14" fillId="0" borderId="0" xfId="1" applyFont="1"/>
    <xf numFmtId="0" fontId="3" fillId="0" borderId="0" xfId="0" quotePrefix="1" applyFont="1"/>
    <xf numFmtId="0" fontId="26" fillId="8" borderId="0" xfId="0" applyFont="1" applyFill="1"/>
    <xf numFmtId="0" fontId="3" fillId="12" borderId="4" xfId="0" applyFont="1" applyFill="1" applyBorder="1" applyAlignment="1">
      <alignment vertical="top"/>
    </xf>
    <xf numFmtId="0" fontId="0" fillId="7" borderId="0" xfId="0" applyFill="1"/>
    <xf numFmtId="166" fontId="0" fillId="7" borderId="0" xfId="0" applyNumberFormat="1" applyFill="1"/>
    <xf numFmtId="0" fontId="25" fillId="7" borderId="0" xfId="0" applyFont="1" applyFill="1"/>
    <xf numFmtId="0" fontId="0" fillId="13" borderId="0" xfId="0" applyFill="1"/>
    <xf numFmtId="0" fontId="25" fillId="8" borderId="0" xfId="0" applyFont="1" applyFill="1" applyAlignment="1">
      <alignment horizontal="left" vertical="top" wrapText="1"/>
    </xf>
    <xf numFmtId="0" fontId="25" fillId="8" borderId="0" xfId="0" applyFont="1" applyFill="1" applyAlignment="1">
      <alignment horizontal="left" vertical="top"/>
    </xf>
    <xf numFmtId="0" fontId="27" fillId="7" borderId="0" xfId="0" applyFont="1" applyFill="1"/>
    <xf numFmtId="10" fontId="27" fillId="7" borderId="0" xfId="1" applyNumberFormat="1" applyFont="1" applyFill="1" applyAlignment="1">
      <alignment horizontal="center"/>
    </xf>
    <xf numFmtId="164" fontId="0" fillId="0" borderId="0" xfId="0" applyNumberFormat="1"/>
    <xf numFmtId="0" fontId="0" fillId="0" borderId="0" xfId="0" quotePrefix="1"/>
    <xf numFmtId="170" fontId="0" fillId="0" borderId="0" xfId="4" applyNumberFormat="1" applyFont="1"/>
    <xf numFmtId="170" fontId="25" fillId="8" borderId="0" xfId="4" applyNumberFormat="1" applyFont="1" applyFill="1"/>
    <xf numFmtId="0" fontId="25" fillId="8" borderId="0" xfId="0" applyFont="1" applyFill="1" applyAlignment="1">
      <alignment horizontal="left" vertical="center"/>
    </xf>
    <xf numFmtId="0" fontId="0" fillId="8" borderId="17" xfId="0" applyFill="1" applyBorder="1" applyAlignment="1">
      <alignment vertical="center" wrapText="1"/>
    </xf>
    <xf numFmtId="0" fontId="0" fillId="0" borderId="0" xfId="0" applyAlignment="1">
      <alignment horizontal="left" vertical="top" wrapText="1"/>
    </xf>
    <xf numFmtId="0" fontId="25" fillId="8" borderId="19" xfId="0" applyFont="1" applyFill="1" applyBorder="1" applyAlignment="1">
      <alignment horizontal="left" vertical="center" wrapText="1"/>
    </xf>
    <xf numFmtId="0" fontId="25" fillId="8" borderId="18" xfId="0" applyFont="1" applyFill="1" applyBorder="1" applyAlignment="1">
      <alignment horizontal="left" vertical="center" wrapText="1"/>
    </xf>
    <xf numFmtId="0" fontId="25" fillId="8" borderId="0" xfId="0" applyFont="1" applyFill="1" applyAlignment="1">
      <alignment horizontal="left" vertical="top" wrapText="1"/>
    </xf>
    <xf numFmtId="0" fontId="10" fillId="0" borderId="0" xfId="0" applyFont="1" applyAlignment="1">
      <alignment horizontal="left" wrapText="1"/>
    </xf>
    <xf numFmtId="168" fontId="15" fillId="5" borderId="20" xfId="0" applyNumberFormat="1" applyFont="1" applyFill="1" applyBorder="1" applyAlignment="1">
      <alignment horizontal="center"/>
    </xf>
    <xf numFmtId="168" fontId="15" fillId="5" borderId="21" xfId="0" applyNumberFormat="1" applyFont="1" applyFill="1" applyBorder="1" applyAlignment="1">
      <alignment horizontal="center"/>
    </xf>
    <xf numFmtId="0" fontId="15" fillId="5" borderId="13" xfId="0" applyFont="1" applyFill="1" applyBorder="1" applyAlignment="1">
      <alignment horizontal="center" vertical="center"/>
    </xf>
    <xf numFmtId="0" fontId="15" fillId="5" borderId="15" xfId="0" applyFont="1" applyFill="1" applyBorder="1" applyAlignment="1">
      <alignment horizontal="center" vertical="center"/>
    </xf>
    <xf numFmtId="0" fontId="5" fillId="0" borderId="0" xfId="0" applyFont="1" applyAlignment="1">
      <alignment horizontal="left" vertical="top" wrapText="1"/>
    </xf>
    <xf numFmtId="0" fontId="0" fillId="0" borderId="0" xfId="0" applyAlignment="1">
      <alignment horizontal="center"/>
    </xf>
    <xf numFmtId="0" fontId="0" fillId="0" borderId="0" xfId="0" applyAlignment="1">
      <alignment horizontal="center" vertical="center"/>
    </xf>
  </cellXfs>
  <cellStyles count="5">
    <cellStyle name="Comma" xfId="4" builtinId="3"/>
    <cellStyle name="Hyperlink" xfId="2" builtinId="8"/>
    <cellStyle name="Normal" xfId="0" builtinId="0"/>
    <cellStyle name="Normal 3" xfId="3" xr:uid="{112DC4E3-1A44-411C-99E5-C634268BE1EB}"/>
    <cellStyle name="Percent" xfId="1" builtinId="5"/>
  </cellStyles>
  <dxfs count="215">
    <dxf>
      <font>
        <b val="0"/>
        <i val="0"/>
        <strike val="0"/>
        <condense val="0"/>
        <extend val="0"/>
        <outline val="0"/>
        <shadow val="0"/>
        <u val="none"/>
        <vertAlign val="baseline"/>
        <sz val="11"/>
        <color theme="1"/>
        <name val="Aptos Narrow"/>
        <family val="2"/>
        <scheme val="minor"/>
      </font>
    </dxf>
    <dxf>
      <font>
        <b/>
        <i val="0"/>
        <strike val="0"/>
        <condense val="0"/>
        <extend val="0"/>
        <outline val="0"/>
        <shadow val="0"/>
        <u val="none"/>
        <vertAlign val="baseline"/>
        <sz val="11"/>
        <color theme="0"/>
        <name val="Calibri"/>
        <family val="2"/>
        <scheme val="none"/>
      </font>
      <fill>
        <patternFill patternType="solid">
          <fgColor theme="4"/>
          <bgColor theme="4"/>
        </patternFill>
      </fill>
    </dxf>
    <dxf>
      <font>
        <b/>
        <i val="0"/>
        <strike val="0"/>
        <condense val="0"/>
        <extend val="0"/>
        <outline val="0"/>
        <shadow val="0"/>
        <u val="none"/>
        <vertAlign val="baseline"/>
        <sz val="11"/>
        <color theme="0"/>
        <name val="Calibri"/>
        <family val="2"/>
        <scheme val="none"/>
      </font>
      <fill>
        <patternFill patternType="solid">
          <fgColor theme="4"/>
          <bgColor theme="4"/>
        </patternFill>
      </fill>
    </dxf>
    <dxf>
      <numFmt numFmtId="170" formatCode="_-* #,##0_-;\-* #,##0_-;_-* &quot;-&quot;??_-;_-@_-"/>
    </dxf>
    <dxf>
      <numFmt numFmtId="170" formatCode="_-* #,##0_-;\-* #,##0_-;_-* &quot;-&quot;??_-;_-@_-"/>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center" textRotation="0" indent="0" justifyLastLine="0" shrinkToFit="0" readingOrder="0"/>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ill>
        <patternFill patternType="none">
          <fgColor indexed="64"/>
          <bgColor indexed="65"/>
        </patternFill>
      </fill>
    </dxf>
    <dxf>
      <numFmt numFmtId="3" formatCode="#,##0"/>
      <fill>
        <patternFill patternType="none">
          <fgColor indexed="64"/>
          <bgColor indexed="65"/>
        </patternFill>
      </fill>
      <alignment horizontal="right" vertical="top" textRotation="0" wrapText="0" indent="1" justifyLastLine="0" shrinkToFit="0" readingOrder="0"/>
    </dxf>
    <dxf>
      <numFmt numFmtId="3" formatCode="#,##0"/>
      <fill>
        <patternFill patternType="none">
          <fgColor indexed="64"/>
          <bgColor indexed="65"/>
        </patternFill>
      </fill>
      <alignment horizontal="right" vertical="top" textRotation="0" wrapText="0" indent="1" justifyLastLine="0" shrinkToFit="0" readingOrder="0"/>
    </dxf>
    <dxf>
      <numFmt numFmtId="3" formatCode="#,##0"/>
      <fill>
        <patternFill patternType="none">
          <fgColor indexed="64"/>
          <bgColor indexed="65"/>
        </patternFill>
      </fill>
      <alignment horizontal="right" vertical="top" textRotation="0" wrapText="0" indent="1" justifyLastLine="0" shrinkToFit="0" readingOrder="0"/>
    </dxf>
    <dxf>
      <numFmt numFmtId="3" formatCode="#,##0"/>
      <fill>
        <patternFill patternType="none">
          <fgColor indexed="64"/>
          <bgColor indexed="65"/>
        </patternFill>
      </fill>
      <alignment horizontal="right" vertical="top" textRotation="0" wrapText="0" indent="1" justifyLastLine="0" shrinkToFit="0" readingOrder="0"/>
    </dxf>
    <dxf>
      <numFmt numFmtId="3" formatCode="#,##0"/>
      <fill>
        <patternFill patternType="none">
          <fgColor indexed="64"/>
          <bgColor indexed="65"/>
        </patternFill>
      </fill>
      <alignment horizontal="right" vertical="top" textRotation="0" wrapText="0" indent="1" justifyLastLine="0" shrinkToFit="0" readingOrder="0"/>
    </dxf>
    <dxf>
      <numFmt numFmtId="3" formatCode="#,##0"/>
      <fill>
        <patternFill patternType="none">
          <fgColor indexed="64"/>
          <bgColor indexed="65"/>
        </patternFill>
      </fill>
      <alignment horizontal="right" vertical="top" textRotation="0" wrapText="0" indent="1" justifyLastLine="0" shrinkToFit="0" readingOrder="0"/>
    </dxf>
    <dxf>
      <numFmt numFmtId="3" formatCode="#,##0"/>
      <fill>
        <patternFill patternType="none">
          <fgColor indexed="64"/>
          <bgColor indexed="65"/>
        </patternFill>
      </fill>
      <alignment horizontal="right" vertical="top" textRotation="0" wrapText="0" indent="1" justifyLastLine="0" shrinkToFit="0" readingOrder="0"/>
    </dxf>
    <dxf>
      <numFmt numFmtId="3" formatCode="#,##0"/>
      <fill>
        <patternFill patternType="none">
          <fgColor indexed="64"/>
          <bgColor indexed="65"/>
        </patternFill>
      </fill>
      <alignment horizontal="right" vertical="top" textRotation="0" wrapText="0" indent="1" justifyLastLine="0" shrinkToFit="0" readingOrder="0"/>
    </dxf>
    <dxf>
      <numFmt numFmtId="3" formatCode="#,##0"/>
      <fill>
        <patternFill patternType="none">
          <fgColor indexed="64"/>
          <bgColor indexed="65"/>
        </patternFill>
      </fill>
      <alignment horizontal="right" vertical="top" textRotation="0" wrapText="0" indent="1"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top" textRotation="0" wrapText="0" indent="1" justifyLastLine="0" shrinkToFit="0" readingOrder="0"/>
    </dxf>
    <dxf>
      <fill>
        <patternFill patternType="none">
          <fgColor indexed="64"/>
          <bgColor auto="1"/>
        </patternFill>
      </fill>
    </dxf>
    <dxf>
      <font>
        <b val="0"/>
        <i val="0"/>
        <strike val="0"/>
        <condense val="0"/>
        <extend val="0"/>
        <outline val="0"/>
        <shadow val="0"/>
        <u val="none"/>
        <vertAlign val="baseline"/>
        <sz val="11"/>
        <color auto="1"/>
        <name val="Aptos Narrow"/>
        <family val="2"/>
        <scheme val="minor"/>
      </font>
      <numFmt numFmtId="13" formatCode="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auto="1"/>
        <name val="Aptos Narrow"/>
        <family val="2"/>
        <scheme val="minor"/>
      </font>
      <numFmt numFmtId="13" formatCode="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auto="1"/>
        <name val="Aptos Narrow"/>
        <family val="2"/>
        <scheme val="minor"/>
      </font>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auto="1"/>
        <name val="Aptos Narrow"/>
        <family val="2"/>
        <scheme val="minor"/>
      </font>
      <border diagonalUp="0" diagonalDown="0">
        <left/>
        <right/>
        <top style="thin">
          <color theme="4" tint="0.39997558519241921"/>
        </top>
        <bottom style="thin">
          <color theme="4" tint="0.39997558519241921"/>
        </bottom>
        <vertical/>
        <horizontal/>
      </border>
    </dxf>
    <dxf>
      <border outline="0">
        <top style="thin">
          <color theme="4" tint="0.39997558519241921"/>
        </top>
      </border>
    </dxf>
    <dxf>
      <border outline="0">
        <bottom style="thin">
          <color theme="4" tint="0.39997558519241921"/>
        </bottom>
      </border>
    </dxf>
    <dxf>
      <border outline="0">
        <left style="thin">
          <color theme="4" tint="0.39997558519241921"/>
        </left>
        <right style="thin">
          <color theme="4" tint="0.39997558519241921"/>
        </right>
        <top style="thin">
          <color theme="4" tint="0.39997558519241921"/>
        </top>
        <bottom style="thin">
          <color theme="4" tint="0.39997558519241921"/>
        </bottom>
      </border>
    </dxf>
    <dxf>
      <font>
        <b/>
        <i val="0"/>
        <strike val="0"/>
        <condense val="0"/>
        <extend val="0"/>
        <outline val="0"/>
        <shadow val="0"/>
        <u val="none"/>
        <vertAlign val="baseline"/>
        <sz val="11"/>
        <color theme="0"/>
        <name val="Aptos Narrow"/>
        <family val="2"/>
        <scheme val="minor"/>
      </font>
      <fill>
        <patternFill patternType="solid">
          <fgColor theme="4"/>
          <bgColor theme="4"/>
        </patternFill>
      </fill>
    </dxf>
    <dxf>
      <font>
        <strike val="0"/>
        <outline val="0"/>
        <shadow val="0"/>
        <u val="none"/>
        <vertAlign val="baseline"/>
        <color auto="1"/>
      </font>
      <fill>
        <patternFill patternType="none">
          <fgColor indexed="64"/>
          <bgColor auto="1"/>
        </patternFill>
      </fill>
    </dxf>
    <dxf>
      <font>
        <strike val="0"/>
        <outline val="0"/>
        <shadow val="0"/>
        <u val="none"/>
        <vertAlign val="baseline"/>
        <color auto="1"/>
      </font>
      <fill>
        <patternFill patternType="none">
          <fgColor indexed="64"/>
          <bgColor auto="1"/>
        </patternFill>
      </fill>
    </dxf>
    <dxf>
      <font>
        <strike val="0"/>
        <outline val="0"/>
        <shadow val="0"/>
        <u val="none"/>
        <vertAlign val="baseline"/>
        <color auto="1"/>
      </font>
      <fill>
        <patternFill patternType="none">
          <fgColor indexed="64"/>
          <bgColor auto="1"/>
        </patternFill>
      </fill>
    </dxf>
    <dxf>
      <font>
        <strike val="0"/>
        <outline val="0"/>
        <shadow val="0"/>
        <u val="none"/>
        <vertAlign val="baseline"/>
        <color auto="1"/>
      </font>
      <fill>
        <patternFill patternType="none">
          <fgColor indexed="64"/>
          <bgColor auto="1"/>
        </patternFill>
      </fill>
    </dxf>
    <dxf>
      <font>
        <strike val="0"/>
        <outline val="0"/>
        <shadow val="0"/>
        <u val="none"/>
        <vertAlign val="baseline"/>
        <color auto="1"/>
      </font>
      <fill>
        <patternFill patternType="none">
          <fgColor indexed="64"/>
          <bgColor auto="1"/>
        </patternFill>
      </fill>
    </dxf>
    <dxf>
      <font>
        <strike val="0"/>
        <outline val="0"/>
        <shadow val="0"/>
        <u val="none"/>
        <vertAlign val="baseline"/>
        <color auto="1"/>
      </font>
      <fill>
        <patternFill patternType="none">
          <fgColor indexed="64"/>
          <bgColor auto="1"/>
        </patternFill>
      </fill>
    </dxf>
    <dxf>
      <font>
        <strike val="0"/>
        <outline val="0"/>
        <shadow val="0"/>
        <u val="none"/>
        <vertAlign val="baseline"/>
        <color auto="1"/>
      </font>
      <fill>
        <patternFill patternType="none">
          <fgColor indexed="64"/>
          <bgColor auto="1"/>
        </patternFill>
      </fill>
    </dxf>
    <dxf>
      <font>
        <strike val="0"/>
        <outline val="0"/>
        <shadow val="0"/>
        <u val="none"/>
        <vertAlign val="baseline"/>
        <color theme="0"/>
      </font>
      <fill>
        <patternFill patternType="none">
          <fgColor indexed="64"/>
          <bgColor auto="1"/>
        </patternFill>
      </fill>
    </dxf>
    <dxf>
      <font>
        <b val="0"/>
        <i val="0"/>
        <strike val="0"/>
        <condense val="0"/>
        <extend val="0"/>
        <outline val="0"/>
        <shadow val="0"/>
        <u val="none"/>
        <vertAlign val="baseline"/>
        <sz val="11"/>
        <color theme="1"/>
        <name val="Aptos Narrow"/>
        <family val="2"/>
        <scheme val="minor"/>
      </font>
      <numFmt numFmtId="166" formatCode="0.0%"/>
    </dxf>
    <dxf>
      <font>
        <b val="0"/>
        <i val="0"/>
        <strike val="0"/>
        <condense val="0"/>
        <extend val="0"/>
        <outline val="0"/>
        <shadow val="0"/>
        <u val="none"/>
        <vertAlign val="baseline"/>
        <sz val="11"/>
        <color theme="1"/>
        <name val="Aptos Narrow"/>
        <family val="2"/>
        <scheme val="minor"/>
      </font>
      <numFmt numFmtId="166" formatCode="0.0%"/>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ont>
        <b/>
        <i val="0"/>
        <strike val="0"/>
        <condense val="0"/>
        <extend val="0"/>
        <outline val="0"/>
        <shadow val="0"/>
        <u val="none"/>
        <vertAlign val="baseline"/>
        <sz val="11"/>
        <color theme="0"/>
        <name val="Aptos Narrow"/>
        <family val="2"/>
        <scheme val="minor"/>
      </font>
      <fill>
        <patternFill patternType="none">
          <fgColor indexed="64"/>
          <bgColor indexed="65"/>
        </patternFill>
      </fill>
    </dxf>
    <dxf>
      <font>
        <b/>
        <i val="0"/>
        <strike val="0"/>
        <condense val="0"/>
        <extend val="0"/>
        <outline val="0"/>
        <shadow val="0"/>
        <u val="none"/>
        <vertAlign val="baseline"/>
        <sz val="11"/>
        <color theme="1"/>
        <name val="Aptos Narrow"/>
        <family val="2"/>
        <scheme val="minor"/>
      </font>
    </dxf>
    <dxf>
      <numFmt numFmtId="166" formatCode="0.0%"/>
    </dxf>
    <dxf>
      <numFmt numFmtId="166" formatCode="0.0%"/>
    </dxf>
    <dxf>
      <numFmt numFmtId="166" formatCode="0.0%"/>
    </dxf>
    <dxf>
      <numFmt numFmtId="166" formatCode="0.0%"/>
    </dxf>
    <dxf>
      <numFmt numFmtId="166" formatCode="0.0%"/>
    </dxf>
    <dxf>
      <numFmt numFmtId="166" formatCode="0.0%"/>
    </dxf>
    <dxf>
      <numFmt numFmtId="166" formatCode="0.0%"/>
    </dxf>
    <dxf>
      <numFmt numFmtId="166" formatCode="0.0%"/>
    </dxf>
    <dxf>
      <fill>
        <patternFill patternType="none">
          <fgColor indexed="64"/>
          <bgColor auto="1"/>
        </patternFill>
      </fill>
    </dxf>
    <dxf>
      <fill>
        <patternFill patternType="none">
          <fgColor indexed="64"/>
          <bgColor auto="1"/>
        </patternFill>
      </fill>
    </dxf>
    <dxf>
      <fill>
        <patternFill patternType="none">
          <fgColor indexed="64"/>
          <bgColor indexed="65"/>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ont>
        <b/>
        <i val="0"/>
        <strike val="0"/>
        <condense val="0"/>
        <extend val="0"/>
        <outline val="0"/>
        <shadow val="0"/>
        <u val="none"/>
        <vertAlign val="baseline"/>
        <sz val="11"/>
        <color theme="0"/>
        <name val="Aptos Narrow"/>
        <family val="2"/>
        <scheme val="minor"/>
      </font>
      <fill>
        <patternFill patternType="none">
          <fgColor indexed="64"/>
          <bgColor auto="1"/>
        </patternFill>
      </fill>
      <border diagonalUp="0" diagonalDown="0" outline="0">
        <left style="thin">
          <color theme="4" tint="0.39997558519241921"/>
        </left>
        <right style="thin">
          <color theme="4" tint="0.39997558519241921"/>
        </right>
        <top/>
        <bottom/>
      </border>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font>
    </dxf>
    <dxf>
      <font>
        <b/>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13" formatCode="0%"/>
    </dxf>
    <dxf>
      <numFmt numFmtId="13" formatCode="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11"/>
        <color theme="1"/>
        <name val="Aptos Narrow"/>
        <family val="2"/>
        <scheme val="minor"/>
      </font>
      <numFmt numFmtId="4" formatCode="#,##0.00"/>
    </dxf>
    <dxf>
      <font>
        <b val="0"/>
        <i val="0"/>
        <strike val="0"/>
        <condense val="0"/>
        <extend val="0"/>
        <outline val="0"/>
        <shadow val="0"/>
        <u val="none"/>
        <vertAlign val="baseline"/>
        <sz val="11"/>
        <color theme="1"/>
        <name val="Aptos Narrow"/>
        <family val="2"/>
        <scheme val="minor"/>
      </font>
      <numFmt numFmtId="4" formatCode="#,##0.00"/>
    </dxf>
    <dxf>
      <font>
        <b val="0"/>
        <i val="0"/>
        <strike val="0"/>
        <condense val="0"/>
        <extend val="0"/>
        <outline val="0"/>
        <shadow val="0"/>
        <u val="none"/>
        <vertAlign val="baseline"/>
        <sz val="11"/>
        <color theme="1"/>
        <name val="Aptos Narrow"/>
        <family val="2"/>
        <scheme val="minor"/>
      </font>
      <numFmt numFmtId="4" formatCode="#,##0.00"/>
    </dxf>
    <dxf>
      <numFmt numFmtId="4" formatCode="#,##0.00"/>
    </dxf>
    <dxf>
      <font>
        <b val="0"/>
        <i val="0"/>
        <strike val="0"/>
        <condense val="0"/>
        <extend val="0"/>
        <outline val="0"/>
        <shadow val="0"/>
        <u val="none"/>
        <vertAlign val="baseline"/>
        <sz val="11"/>
        <color theme="1"/>
        <name val="Aptos Narrow"/>
        <family val="2"/>
        <scheme val="minor"/>
      </font>
      <numFmt numFmtId="4" formatCode="#,##0.00"/>
    </dxf>
    <dxf>
      <font>
        <b/>
        <i val="0"/>
        <strike val="0"/>
        <condense val="0"/>
        <extend val="0"/>
        <outline val="0"/>
        <shadow val="0"/>
        <u val="none"/>
        <vertAlign val="baseline"/>
        <sz val="11"/>
        <color theme="1"/>
        <name val="Aptos Narrow"/>
        <family val="2"/>
        <scheme val="minor"/>
      </font>
      <numFmt numFmtId="4" formatCode="#,##0.00"/>
      <alignment horizontal="center" vertical="bottom" textRotation="0" wrapText="0" indent="0" justifyLastLine="0" shrinkToFit="0" readingOrder="0"/>
    </dxf>
    <dxf>
      <numFmt numFmtId="4" formatCode="#,##0.00"/>
    </dxf>
    <dxf>
      <numFmt numFmtId="4" formatCode="#,##0.00"/>
    </dxf>
    <dxf>
      <numFmt numFmtId="4" formatCode="#,##0.00"/>
    </dxf>
    <dxf>
      <font>
        <b/>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general" vertical="top"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dxf>
    <dxf>
      <alignment horizontal="general"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ED6D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3.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32"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3048000</xdr:colOff>
      <xdr:row>4</xdr:row>
      <xdr:rowOff>1490869</xdr:rowOff>
    </xdr:from>
    <xdr:to>
      <xdr:col>1</xdr:col>
      <xdr:colOff>3048000</xdr:colOff>
      <xdr:row>4</xdr:row>
      <xdr:rowOff>1630017</xdr:rowOff>
    </xdr:to>
    <xdr:cxnSp macro="">
      <xdr:nvCxnSpPr>
        <xdr:cNvPr id="2" name="Straight Arrow Connector 1">
          <a:extLst>
            <a:ext uri="{FF2B5EF4-FFF2-40B4-BE49-F238E27FC236}">
              <a16:creationId xmlns:a16="http://schemas.microsoft.com/office/drawing/2014/main" id="{33033967-7EAE-4DF0-B93E-A2CF0219415D}"/>
            </a:ext>
          </a:extLst>
        </xdr:cNvPr>
        <xdr:cNvCxnSpPr/>
      </xdr:nvCxnSpPr>
      <xdr:spPr>
        <a:xfrm flipV="1">
          <a:off x="3565071" y="1860983"/>
          <a:ext cx="0" cy="13914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1</xdr:col>
      <xdr:colOff>-1</xdr:colOff>
      <xdr:row>4</xdr:row>
      <xdr:rowOff>0</xdr:rowOff>
    </xdr:from>
    <xdr:to>
      <xdr:col>4</xdr:col>
      <xdr:colOff>122961</xdr:colOff>
      <xdr:row>4</xdr:row>
      <xdr:rowOff>4626429</xdr:rowOff>
    </xdr:to>
    <xdr:pic>
      <xdr:nvPicPr>
        <xdr:cNvPr id="4" name="Picture 3">
          <a:extLst>
            <a:ext uri="{FF2B5EF4-FFF2-40B4-BE49-F238E27FC236}">
              <a16:creationId xmlns:a16="http://schemas.microsoft.com/office/drawing/2014/main" id="{B515D617-0444-18E3-42C1-66B7DDEC5491}"/>
            </a:ext>
          </a:extLst>
        </xdr:cNvPr>
        <xdr:cNvPicPr>
          <a:picLocks noChangeAspect="1"/>
        </xdr:cNvPicPr>
      </xdr:nvPicPr>
      <xdr:blipFill>
        <a:blip xmlns:r="http://schemas.openxmlformats.org/officeDocument/2006/relationships" r:embed="rId1"/>
        <a:stretch>
          <a:fillRect/>
        </a:stretch>
      </xdr:blipFill>
      <xdr:spPr>
        <a:xfrm>
          <a:off x="517071" y="362857"/>
          <a:ext cx="10509747" cy="46264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18</xdr:row>
      <xdr:rowOff>0</xdr:rowOff>
    </xdr:from>
    <xdr:to>
      <xdr:col>3</xdr:col>
      <xdr:colOff>304800</xdr:colOff>
      <xdr:row>19</xdr:row>
      <xdr:rowOff>133350</xdr:rowOff>
    </xdr:to>
    <xdr:sp macro="" textlink="">
      <xdr:nvSpPr>
        <xdr:cNvPr id="17409" name="AutoShape 1">
          <a:extLst>
            <a:ext uri="{FF2B5EF4-FFF2-40B4-BE49-F238E27FC236}">
              <a16:creationId xmlns:a16="http://schemas.microsoft.com/office/drawing/2014/main" id="{1F8CF7F7-EF3D-6B7E-0C41-4B8819AA705A}"/>
            </a:ext>
          </a:extLst>
        </xdr:cNvPr>
        <xdr:cNvSpPr>
          <a:spLocks noChangeAspect="1" noChangeArrowheads="1"/>
        </xdr:cNvSpPr>
      </xdr:nvSpPr>
      <xdr:spPr bwMode="auto">
        <a:xfrm>
          <a:off x="4404360" y="29260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18</xdr:row>
      <xdr:rowOff>0</xdr:rowOff>
    </xdr:from>
    <xdr:to>
      <xdr:col>3</xdr:col>
      <xdr:colOff>304800</xdr:colOff>
      <xdr:row>19</xdr:row>
      <xdr:rowOff>121920</xdr:rowOff>
    </xdr:to>
    <xdr:sp macro="" textlink="">
      <xdr:nvSpPr>
        <xdr:cNvPr id="17412" name="AutoShape 4">
          <a:extLst>
            <a:ext uri="{FF2B5EF4-FFF2-40B4-BE49-F238E27FC236}">
              <a16:creationId xmlns:a16="http://schemas.microsoft.com/office/drawing/2014/main" id="{4DEEE088-6F2E-111C-C6C8-CB86D9FB2F56}"/>
            </a:ext>
          </a:extLst>
        </xdr:cNvPr>
        <xdr:cNvSpPr>
          <a:spLocks noChangeAspect="1" noChangeArrowheads="1"/>
        </xdr:cNvSpPr>
      </xdr:nvSpPr>
      <xdr:spPr bwMode="auto">
        <a:xfrm>
          <a:off x="4404360" y="29260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wdcnz.sharepoint.com/sites/StrategyandAdviceToituteWaiora/Corporate%20Team/Early%20Childhood%20Education%20Project%202025/2025%2012%2015%20ECE%20model%20-%20national%20level.xlsx" TargetMode="External"/><Relationship Id="rId1" Type="http://schemas.openxmlformats.org/officeDocument/2006/relationships/externalLinkPath" Target="2025%2012%2015%20ECE%20model%20-%20national%20level.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docs.live.net/C24A8454490E34DE/Forecasting/ECE%20model%20-%20national%20level.xlsx" TargetMode="External"/><Relationship Id="rId1" Type="http://schemas.openxmlformats.org/officeDocument/2006/relationships/externalLinkPath" Target="ECE%20model%20-%20national%20level.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d.docs.live.net/c24a8454490e34de/Forecasting/ECE%20model%20-%20regional%20level%20-%20Auckland.xlsx" TargetMode="External"/><Relationship Id="rId1" Type="http://schemas.openxmlformats.org/officeDocument/2006/relationships/externalLinkPath" Target="ECE%20model%20-%20regional%20level%20-%20Auckland.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wdcnz.sharepoint.com/sites/StrategyandAdviceToituteWaiora/Insights%20Team/Deliverables/ECE%20Workforce/Supporting%20Documents%20Package/WIP%20Package%201%20-%20for%20publication%20-%20no%20charts%20and%20concepts.xlsx" TargetMode="External"/><Relationship Id="rId1" Type="http://schemas.openxmlformats.org/officeDocument/2006/relationships/externalLinkPath" Target="WIP%20Package%201%20-%20for%20publication%20-%20no%20charts%20and%20concept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ources and Contents"/>
      <sheetName val="Assumptions"/>
      <sheetName val="Limitations"/>
      <sheetName val="Definitions"/>
      <sheetName val="Methodology"/>
      <sheetName val="Opportunities"/>
      <sheetName val="T1"/>
      <sheetName val="T2"/>
      <sheetName val="T5"/>
      <sheetName val="T6"/>
      <sheetName val="T7"/>
      <sheetName val="T8"/>
      <sheetName val="T15"/>
      <sheetName val="T16"/>
      <sheetName val="T17"/>
      <sheetName val="T18"/>
      <sheetName val="T19"/>
      <sheetName val="T19.1"/>
      <sheetName val="T20"/>
      <sheetName val="T21"/>
      <sheetName val="T22"/>
      <sheetName val="T23"/>
      <sheetName val="C1"/>
      <sheetName val="C3"/>
      <sheetName val="C4"/>
      <sheetName val="C4.1"/>
      <sheetName val="C5"/>
      <sheetName val="C6"/>
      <sheetName val="C7"/>
      <sheetName val="ECE Services Directory"/>
      <sheetName val="Source-participation_x_type"/>
      <sheetName val="Source-fte_qualstus_x_servtype"/>
      <sheetName val="Source-age_x_service"/>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5">
          <cell r="Q15">
            <v>178565</v>
          </cell>
          <cell r="S15">
            <v>191480</v>
          </cell>
          <cell r="T15">
            <v>200020</v>
          </cell>
        </row>
        <row r="16">
          <cell r="Q16">
            <v>173830</v>
          </cell>
          <cell r="S16">
            <v>187600</v>
          </cell>
          <cell r="T16">
            <v>197080</v>
          </cell>
        </row>
        <row r="17">
          <cell r="Q17">
            <v>169425</v>
          </cell>
          <cell r="S17">
            <v>184335</v>
          </cell>
          <cell r="T17">
            <v>195135</v>
          </cell>
        </row>
        <row r="18">
          <cell r="Q18">
            <v>168695</v>
          </cell>
          <cell r="S18">
            <v>185370</v>
          </cell>
          <cell r="T18">
            <v>197910</v>
          </cell>
        </row>
        <row r="19">
          <cell r="Q19">
            <v>167975</v>
          </cell>
          <cell r="S19">
            <v>186565</v>
          </cell>
          <cell r="T19">
            <v>201180</v>
          </cell>
        </row>
        <row r="20">
          <cell r="Q20">
            <v>166775</v>
          </cell>
          <cell r="S20">
            <v>186695</v>
          </cell>
          <cell r="T20">
            <v>203010</v>
          </cell>
        </row>
        <row r="21">
          <cell r="Q21">
            <v>165655</v>
          </cell>
          <cell r="S21">
            <v>186730</v>
          </cell>
          <cell r="T21">
            <v>204155</v>
          </cell>
        </row>
        <row r="22">
          <cell r="Q22">
            <v>164520</v>
          </cell>
          <cell r="S22">
            <v>186735</v>
          </cell>
          <cell r="T22">
            <v>205495</v>
          </cell>
        </row>
        <row r="23">
          <cell r="Q23">
            <v>163575</v>
          </cell>
          <cell r="S23">
            <v>186775</v>
          </cell>
          <cell r="T23">
            <v>206685</v>
          </cell>
        </row>
        <row r="24">
          <cell r="Q24">
            <v>162815</v>
          </cell>
          <cell r="S24">
            <v>186905</v>
          </cell>
          <cell r="T24">
            <v>207705</v>
          </cell>
        </row>
        <row r="25">
          <cell r="Q25">
            <v>162320</v>
          </cell>
          <cell r="S25">
            <v>187170</v>
          </cell>
          <cell r="T25">
            <v>208750</v>
          </cell>
        </row>
      </sheetData>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sheetData sheetId="31">
        <row r="15">
          <cell r="K15">
            <v>0.65047359648766212</v>
          </cell>
          <cell r="M15">
            <v>0.64166181324014759</v>
          </cell>
          <cell r="O15">
            <v>0.63888151155290818</v>
          </cell>
          <cell r="Q15">
            <v>0.63097908011323944</v>
          </cell>
          <cell r="S15">
            <v>0.67239215686274512</v>
          </cell>
          <cell r="U15">
            <v>0.65561270366507207</v>
          </cell>
          <cell r="W15">
            <v>0.64900518247381578</v>
          </cell>
          <cell r="Y15">
            <v>0.64801864801864806</v>
          </cell>
          <cell r="AA15">
            <v>0.67169865062128387</v>
          </cell>
        </row>
        <row r="31">
          <cell r="J31">
            <v>0.8478</v>
          </cell>
        </row>
        <row r="32">
          <cell r="J32">
            <v>0.85160000000000002</v>
          </cell>
        </row>
        <row r="33">
          <cell r="J33">
            <v>0.85540000000000005</v>
          </cell>
        </row>
        <row r="34">
          <cell r="J34">
            <v>0.85920000000000007</v>
          </cell>
        </row>
        <row r="35">
          <cell r="J35">
            <v>0.8630000000000001</v>
          </cell>
        </row>
        <row r="36">
          <cell r="J36">
            <v>0.86680000000000013</v>
          </cell>
        </row>
        <row r="37">
          <cell r="J37">
            <v>0.87060000000000015</v>
          </cell>
        </row>
        <row r="38">
          <cell r="J38">
            <v>0.87440000000000018</v>
          </cell>
        </row>
        <row r="39">
          <cell r="J39">
            <v>0.8782000000000002</v>
          </cell>
        </row>
        <row r="40">
          <cell r="J40">
            <v>0.88200000000000023</v>
          </cell>
        </row>
        <row r="41">
          <cell r="J41">
            <v>0.88580000000000025</v>
          </cell>
        </row>
        <row r="42">
          <cell r="J42">
            <v>0.88960000000000028</v>
          </cell>
        </row>
      </sheetData>
      <sheetData sheetId="3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ources and Contents"/>
      <sheetName val="Assumptions"/>
      <sheetName val="Limitations"/>
      <sheetName val="Definitions"/>
      <sheetName val="Methodology"/>
      <sheetName val="T1"/>
      <sheetName val="T2"/>
      <sheetName val="T5"/>
      <sheetName val="T6"/>
      <sheetName val="T7"/>
      <sheetName val="T8"/>
      <sheetName val="T15"/>
      <sheetName val="T16"/>
      <sheetName val="T17"/>
      <sheetName val="T18"/>
      <sheetName val="T19"/>
      <sheetName val="T19.1"/>
      <sheetName val="T20"/>
      <sheetName val="T21"/>
      <sheetName val="T22"/>
      <sheetName val="T23"/>
      <sheetName val="C1"/>
      <sheetName val="C3"/>
      <sheetName val="C4"/>
      <sheetName val="C4.1"/>
      <sheetName val="C5"/>
      <sheetName val="C6"/>
      <sheetName val="C7"/>
      <sheetName val="Opportunities"/>
      <sheetName val="ECE Services Directory"/>
      <sheetName val="Source-participation_x_type"/>
      <sheetName val="Source-fte_qualstus_x_servtype"/>
      <sheetName val="Source-age_x_servi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B3">
            <v>58870</v>
          </cell>
          <cell r="C3">
            <v>59020</v>
          </cell>
          <cell r="D3">
            <v>61290</v>
          </cell>
          <cell r="E3">
            <v>62450</v>
          </cell>
          <cell r="F3">
            <v>63580</v>
          </cell>
        </row>
        <row r="4">
          <cell r="B4">
            <v>59400</v>
          </cell>
          <cell r="C4">
            <v>59550</v>
          </cell>
          <cell r="D4">
            <v>59980</v>
          </cell>
          <cell r="E4">
            <v>62440</v>
          </cell>
          <cell r="F4">
            <v>63340</v>
          </cell>
        </row>
        <row r="5">
          <cell r="B5">
            <v>60150</v>
          </cell>
          <cell r="C5">
            <v>59970</v>
          </cell>
          <cell r="D5">
            <v>60760</v>
          </cell>
          <cell r="E5">
            <v>61180</v>
          </cell>
          <cell r="F5">
            <v>63460</v>
          </cell>
        </row>
        <row r="6">
          <cell r="B6">
            <v>59530</v>
          </cell>
          <cell r="C6">
            <v>60520</v>
          </cell>
          <cell r="D6">
            <v>60890</v>
          </cell>
          <cell r="E6">
            <v>61880</v>
          </cell>
          <cell r="F6">
            <v>62210</v>
          </cell>
        </row>
        <row r="7">
          <cell r="B7">
            <v>59640</v>
          </cell>
          <cell r="C7">
            <v>59750</v>
          </cell>
          <cell r="D7">
            <v>61290</v>
          </cell>
          <cell r="E7">
            <v>61790</v>
          </cell>
          <cell r="F7">
            <v>62860</v>
          </cell>
        </row>
        <row r="8">
          <cell r="B8">
            <v>59330</v>
          </cell>
          <cell r="C8">
            <v>60080</v>
          </cell>
          <cell r="D8">
            <v>60610</v>
          </cell>
          <cell r="E8">
            <v>62410</v>
          </cell>
          <cell r="F8">
            <v>62770</v>
          </cell>
        </row>
        <row r="9">
          <cell r="B9">
            <v>60860</v>
          </cell>
          <cell r="C9">
            <v>59520</v>
          </cell>
          <cell r="D9">
            <v>60420</v>
          </cell>
          <cell r="E9">
            <v>60930</v>
          </cell>
          <cell r="F9">
            <v>62640</v>
          </cell>
        </row>
        <row r="10">
          <cell r="B10">
            <v>60340</v>
          </cell>
          <cell r="C10">
            <v>60720</v>
          </cell>
          <cell r="D10">
            <v>59670</v>
          </cell>
          <cell r="E10">
            <v>60840</v>
          </cell>
          <cell r="F10">
            <v>61160</v>
          </cell>
        </row>
        <row r="11">
          <cell r="B11">
            <v>56840</v>
          </cell>
          <cell r="C11">
            <v>60790</v>
          </cell>
          <cell r="D11">
            <v>61490</v>
          </cell>
          <cell r="E11">
            <v>60840</v>
          </cell>
          <cell r="F11">
            <v>62350</v>
          </cell>
        </row>
        <row r="12">
          <cell r="B12">
            <v>57070</v>
          </cell>
          <cell r="C12">
            <v>57190</v>
          </cell>
          <cell r="D12">
            <v>61700</v>
          </cell>
          <cell r="E12">
            <v>62510</v>
          </cell>
          <cell r="F12">
            <v>62230</v>
          </cell>
        </row>
        <row r="16">
          <cell r="B16">
            <v>9774</v>
          </cell>
          <cell r="C16">
            <v>26312</v>
          </cell>
          <cell r="D16">
            <v>40320</v>
          </cell>
          <cell r="E16">
            <v>57332</v>
          </cell>
          <cell r="F16">
            <v>61354</v>
          </cell>
        </row>
        <row r="17">
          <cell r="B17">
            <v>10076</v>
          </cell>
          <cell r="C17">
            <v>28066</v>
          </cell>
          <cell r="D17">
            <v>41250</v>
          </cell>
          <cell r="E17">
            <v>58529</v>
          </cell>
          <cell r="F17">
            <v>61592</v>
          </cell>
        </row>
        <row r="18">
          <cell r="B18">
            <v>10549</v>
          </cell>
          <cell r="C18">
            <v>28467</v>
          </cell>
          <cell r="D18">
            <v>42504</v>
          </cell>
          <cell r="E18">
            <v>57052</v>
          </cell>
          <cell r="F18">
            <v>61763</v>
          </cell>
        </row>
        <row r="19">
          <cell r="B19">
            <v>9538</v>
          </cell>
          <cell r="C19">
            <v>28725</v>
          </cell>
          <cell r="D19">
            <v>42326</v>
          </cell>
          <cell r="E19">
            <v>56725</v>
          </cell>
          <cell r="F19">
            <v>59675</v>
          </cell>
        </row>
        <row r="20">
          <cell r="B20">
            <v>9319</v>
          </cell>
          <cell r="C20">
            <v>28217</v>
          </cell>
          <cell r="D20">
            <v>42626</v>
          </cell>
          <cell r="E20">
            <v>55588</v>
          </cell>
          <cell r="F20">
            <v>59229</v>
          </cell>
        </row>
        <row r="21">
          <cell r="B21">
            <v>7939</v>
          </cell>
          <cell r="C21">
            <v>25840</v>
          </cell>
          <cell r="D21">
            <v>39965</v>
          </cell>
          <cell r="E21">
            <v>53957</v>
          </cell>
          <cell r="F21">
            <v>57578</v>
          </cell>
        </row>
        <row r="22">
          <cell r="B22">
            <v>9808</v>
          </cell>
          <cell r="C22">
            <v>29274</v>
          </cell>
          <cell r="D22">
            <v>41556</v>
          </cell>
          <cell r="E22">
            <v>53139</v>
          </cell>
          <cell r="F22">
            <v>57680</v>
          </cell>
        </row>
        <row r="23">
          <cell r="B23">
            <v>9788</v>
          </cell>
          <cell r="C23">
            <v>28460</v>
          </cell>
          <cell r="D23">
            <v>39242</v>
          </cell>
          <cell r="E23">
            <v>48843</v>
          </cell>
          <cell r="F23">
            <v>52080</v>
          </cell>
        </row>
        <row r="24">
          <cell r="B24">
            <v>9352</v>
          </cell>
          <cell r="C24">
            <v>30696</v>
          </cell>
          <cell r="D24">
            <v>42490</v>
          </cell>
          <cell r="E24">
            <v>51477</v>
          </cell>
          <cell r="F24">
            <v>54325</v>
          </cell>
        </row>
        <row r="25">
          <cell r="B25">
            <v>9193</v>
          </cell>
          <cell r="C25">
            <v>28341</v>
          </cell>
          <cell r="D25">
            <v>44015</v>
          </cell>
          <cell r="E25">
            <v>53883</v>
          </cell>
          <cell r="F25">
            <v>55931</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ources and Contents"/>
      <sheetName val="Assumptions"/>
      <sheetName val="Limitations"/>
      <sheetName val="Definitions"/>
      <sheetName val="Methodology"/>
      <sheetName val="T1"/>
      <sheetName val="T2"/>
      <sheetName val="T3"/>
      <sheetName val="T5"/>
      <sheetName val="T6"/>
      <sheetName val="T7"/>
      <sheetName val="T8"/>
      <sheetName val="T15"/>
      <sheetName val="T16"/>
      <sheetName val="T17"/>
      <sheetName val="T18"/>
      <sheetName val="T19"/>
      <sheetName val="T19.1"/>
      <sheetName val="T20"/>
      <sheetName val="T21"/>
      <sheetName val="Source-AKL-service-directory"/>
      <sheetName val="T22"/>
      <sheetName val="T23"/>
      <sheetName val="C1"/>
      <sheetName val="C3"/>
      <sheetName val="C4"/>
      <sheetName val="C4.1"/>
      <sheetName val="C5"/>
      <sheetName val="C6"/>
      <sheetName val="C7"/>
      <sheetName val="Opportunities"/>
      <sheetName val="Transformed-pop_x_region"/>
      <sheetName val="Source-pop_x_region"/>
      <sheetName val="Xformed-participation_x_region"/>
      <sheetName val="Source-participation_x_region"/>
      <sheetName val="ECE Services Directory"/>
      <sheetName val="Source-participation_x_type"/>
      <sheetName val="Source-AKL_participation_x_age"/>
      <sheetName val="Source-AKL_ptcptn_x_stype"/>
      <sheetName val="Source-fte_qualstus_x_servtype"/>
      <sheetName val="Source-age_x_servi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3">
          <cell r="B3">
            <v>21105</v>
          </cell>
          <cell r="C3">
            <v>21155</v>
          </cell>
          <cell r="D3">
            <v>21970</v>
          </cell>
          <cell r="E3">
            <v>22385</v>
          </cell>
          <cell r="F3">
            <v>22790</v>
          </cell>
        </row>
        <row r="4">
          <cell r="B4">
            <v>21315</v>
          </cell>
          <cell r="C4">
            <v>21370</v>
          </cell>
          <cell r="D4">
            <v>21525</v>
          </cell>
          <cell r="E4">
            <v>22405</v>
          </cell>
          <cell r="F4">
            <v>22730</v>
          </cell>
        </row>
        <row r="5">
          <cell r="B5">
            <v>21490</v>
          </cell>
          <cell r="C5">
            <v>21425</v>
          </cell>
          <cell r="D5">
            <v>21710</v>
          </cell>
          <cell r="E5">
            <v>21860</v>
          </cell>
          <cell r="F5">
            <v>22675</v>
          </cell>
        </row>
        <row r="6">
          <cell r="B6">
            <v>20970</v>
          </cell>
          <cell r="C6">
            <v>21315</v>
          </cell>
          <cell r="D6">
            <v>21445</v>
          </cell>
          <cell r="E6">
            <v>21795</v>
          </cell>
          <cell r="F6">
            <v>21910</v>
          </cell>
        </row>
        <row r="7">
          <cell r="B7">
            <v>21010</v>
          </cell>
          <cell r="C7">
            <v>21050</v>
          </cell>
          <cell r="D7">
            <v>21590</v>
          </cell>
          <cell r="E7">
            <v>21765</v>
          </cell>
          <cell r="F7">
            <v>22145</v>
          </cell>
        </row>
        <row r="8">
          <cell r="B8">
            <v>20810</v>
          </cell>
          <cell r="C8">
            <v>21070</v>
          </cell>
          <cell r="D8">
            <v>21255</v>
          </cell>
          <cell r="E8">
            <v>21890</v>
          </cell>
          <cell r="F8">
            <v>22015</v>
          </cell>
        </row>
        <row r="9">
          <cell r="B9">
            <v>21155</v>
          </cell>
          <cell r="C9">
            <v>20685</v>
          </cell>
          <cell r="D9">
            <v>21000</v>
          </cell>
          <cell r="E9">
            <v>21175</v>
          </cell>
          <cell r="F9">
            <v>21770</v>
          </cell>
        </row>
        <row r="10">
          <cell r="B10">
            <v>20755</v>
          </cell>
          <cell r="C10">
            <v>20885</v>
          </cell>
          <cell r="D10">
            <v>20525</v>
          </cell>
          <cell r="E10">
            <v>20925</v>
          </cell>
          <cell r="F10">
            <v>21035</v>
          </cell>
        </row>
        <row r="11">
          <cell r="B11">
            <v>19700</v>
          </cell>
          <cell r="C11">
            <v>21070</v>
          </cell>
          <cell r="D11">
            <v>21310</v>
          </cell>
          <cell r="E11">
            <v>21085</v>
          </cell>
          <cell r="F11">
            <v>21610</v>
          </cell>
        </row>
        <row r="12">
          <cell r="B12">
            <v>19965</v>
          </cell>
          <cell r="C12">
            <v>20005</v>
          </cell>
          <cell r="D12">
            <v>21585</v>
          </cell>
          <cell r="E12">
            <v>21865</v>
          </cell>
          <cell r="F12">
            <v>21770</v>
          </cell>
        </row>
        <row r="16">
          <cell r="B16">
            <v>3382</v>
          </cell>
          <cell r="C16">
            <v>8632</v>
          </cell>
          <cell r="D16">
            <v>13342</v>
          </cell>
          <cell r="E16">
            <v>19543</v>
          </cell>
          <cell r="F16">
            <v>21050</v>
          </cell>
        </row>
        <row r="17">
          <cell r="B17">
            <v>3126</v>
          </cell>
          <cell r="C17">
            <v>9347</v>
          </cell>
          <cell r="D17">
            <v>13603</v>
          </cell>
          <cell r="E17">
            <v>20047</v>
          </cell>
          <cell r="F17">
            <v>21220</v>
          </cell>
        </row>
        <row r="18">
          <cell r="B18">
            <v>3490</v>
          </cell>
          <cell r="C18">
            <v>9261</v>
          </cell>
          <cell r="D18">
            <v>14333</v>
          </cell>
          <cell r="E18">
            <v>19477</v>
          </cell>
          <cell r="F18">
            <v>21397</v>
          </cell>
        </row>
        <row r="19">
          <cell r="B19">
            <v>3111</v>
          </cell>
          <cell r="C19">
            <v>9727</v>
          </cell>
          <cell r="D19">
            <v>14107</v>
          </cell>
          <cell r="E19">
            <v>19821</v>
          </cell>
          <cell r="F19">
            <v>20744</v>
          </cell>
        </row>
        <row r="20">
          <cell r="B20">
            <v>3138</v>
          </cell>
          <cell r="C20">
            <v>9531</v>
          </cell>
          <cell r="D20">
            <v>14641</v>
          </cell>
          <cell r="E20">
            <v>19007</v>
          </cell>
          <cell r="F20">
            <v>20996</v>
          </cell>
        </row>
        <row r="21">
          <cell r="B21">
            <v>2632</v>
          </cell>
          <cell r="C21">
            <v>8699</v>
          </cell>
          <cell r="D21">
            <v>13175</v>
          </cell>
          <cell r="E21">
            <v>18522</v>
          </cell>
          <cell r="F21">
            <v>19617</v>
          </cell>
        </row>
        <row r="22">
          <cell r="B22">
            <v>3386</v>
          </cell>
          <cell r="C22">
            <v>9942</v>
          </cell>
          <cell r="D22">
            <v>13654</v>
          </cell>
          <cell r="E22">
            <v>17563</v>
          </cell>
          <cell r="F22">
            <v>19626</v>
          </cell>
        </row>
        <row r="23">
          <cell r="B23">
            <v>3226</v>
          </cell>
          <cell r="C23">
            <v>9542</v>
          </cell>
          <cell r="D23">
            <v>12891</v>
          </cell>
          <cell r="E23">
            <v>16046</v>
          </cell>
          <cell r="F23">
            <v>17231</v>
          </cell>
        </row>
        <row r="24">
          <cell r="B24">
            <v>3063</v>
          </cell>
          <cell r="C24">
            <v>10484</v>
          </cell>
          <cell r="D24">
            <v>14290</v>
          </cell>
          <cell r="E24">
            <v>17651</v>
          </cell>
          <cell r="F24">
            <v>18366</v>
          </cell>
        </row>
        <row r="25">
          <cell r="B25">
            <v>3141</v>
          </cell>
          <cell r="C25">
            <v>9703</v>
          </cell>
          <cell r="D25">
            <v>15203</v>
          </cell>
          <cell r="E25">
            <v>18447</v>
          </cell>
          <cell r="F25">
            <v>19561</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bout this file"/>
      <sheetName val="Contents"/>
      <sheetName val="Definitions"/>
      <sheetName val="T1"/>
      <sheetName val="T2"/>
      <sheetName val="T3"/>
      <sheetName val="T4"/>
      <sheetName val="T5"/>
      <sheetName val="T6"/>
      <sheetName val="T7"/>
      <sheetName val="T8"/>
      <sheetName val="T9"/>
      <sheetName val="T11"/>
      <sheetName val="T12"/>
      <sheetName val="T13"/>
      <sheetName val="T14"/>
      <sheetName val="T15"/>
      <sheetName val="T16"/>
      <sheetName val="T17"/>
      <sheetName val="S1"/>
      <sheetName val="S2"/>
      <sheetName val="WIP Package 1 - for publication"/>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sheetData sheetId="19" refreshError="1"/>
      <sheetData sheetId="20" refreshError="1"/>
      <sheetData sheetId="21"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8CC4376-0359-419C-845B-4C71D39168C0}" name="Table3" displayName="Table3" ref="A2:D37" totalsRowShown="0" headerRowDxfId="214" dataDxfId="213">
  <autoFilter ref="A2:D37" xr:uid="{38CC4376-0359-419C-845B-4C71D39168C0}"/>
  <tableColumns count="4">
    <tableColumn id="1" xr3:uid="{FAF44067-E627-4FDA-A15F-641A5D056CBC}" name="Tab name" dataDxfId="212"/>
    <tableColumn id="4" xr3:uid="{F71C20B0-8A7A-4DF9-BE2D-4BCB53941157}" name="Figure heading" dataDxfId="211"/>
    <tableColumn id="2" xr3:uid="{0D6FF512-5CA5-4E26-8ADC-AC9F17262508}" name="Description" dataDxfId="210"/>
    <tableColumn id="3" xr3:uid="{0B2C7C60-8A3F-4E9E-A65F-07CC299A1DAD}" name="Source(s) (semicolon separated)" dataDxfId="209"/>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B6FCCB4A-092B-409B-98C3-8ECFE876A221}" name="Table566" displayName="Table566" ref="A3:D10" totalsRowShown="0" headerRowDxfId="208" dataDxfId="207">
  <autoFilter ref="A3:D10" xr:uid="{B6FCCB4A-092B-409B-98C3-8ECFE876A221}"/>
  <tableColumns count="4">
    <tableColumn id="1" xr3:uid="{7B3358B6-3B74-411D-BEC4-B472EDDCE10F}" name="Term/Label" dataDxfId="206"/>
    <tableColumn id="2" xr3:uid="{93659126-8EDE-4837-AF4D-72EF6B52EF69}" name="What it means" dataDxfId="205"/>
    <tableColumn id="4" xr3:uid="{7B5295EC-5D7A-4C92-BB54-C7579BD3DDC3}" name="You should also know…" dataDxfId="204"/>
    <tableColumn id="3" xr3:uid="{6806DD76-A40F-412B-8DD7-59908AACF639}" name="Link (if applicable)" dataDxfId="203"/>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8F8F49F7-9C7C-482A-AECD-A72C0053CDD4}" name="MarketShare" displayName="MarketShare" ref="A5:D31" totalsRowShown="0" headerRowDxfId="202" dataDxfId="201">
  <autoFilter ref="A5:D31" xr:uid="{8F8F49F7-9C7C-482A-AECD-A72C0053CDD4}"/>
  <tableColumns count="4">
    <tableColumn id="1" xr3:uid="{02D85C6D-C964-4B66-B93B-5D0446FD0A5F}" name="Year" dataDxfId="200"/>
    <tableColumn id="2" xr3:uid="{8C4DA1F3-9D1B-40CE-A4BD-AEEB9734053D}" name="Education &amp; Care" dataDxfId="199"/>
    <tableColumn id="3" xr3:uid="{D2A35229-4C75-4A7B-B2B9-60F491986C29}" name="Kindergarten" dataDxfId="198"/>
    <tableColumn id="4" xr3:uid="{0D6C00C8-80EF-4AC4-88A0-F07A23F8D2C7}" name="Te Kōhanga Reo*" dataDxfId="197"/>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7056E509-B951-40C0-939D-DF4DCA18C6AC}" name="YearOnYearChange" displayName="YearOnYearChange" ref="A34:D59" totalsRowShown="0" headerRowDxfId="196" dataDxfId="195">
  <autoFilter ref="A34:D59" xr:uid="{7056E509-B951-40C0-939D-DF4DCA18C6AC}"/>
  <tableColumns count="4">
    <tableColumn id="1" xr3:uid="{96EF4771-0537-48AF-A225-E5A9A1574D32}" name="Year" dataDxfId="194"/>
    <tableColumn id="2" xr3:uid="{A8E08183-BA08-4846-8111-71A76CF92F1D}" name="Education &amp; Care" dataDxfId="193">
      <calculatedColumnFormula>B7-B6</calculatedColumnFormula>
    </tableColumn>
    <tableColumn id="3" xr3:uid="{2D5B281F-C2E8-4C1F-9095-ECD51A79765F}" name="Kindergarten" dataDxfId="192">
      <calculatedColumnFormula>C7-C6</calculatedColumnFormula>
    </tableColumn>
    <tableColumn id="4" xr3:uid="{357C9FE7-9836-464D-BDD8-A5FC25EA18BE}" name="Te Kōhanga Reo*" dataDxfId="191">
      <calculatedColumnFormula>D7-D6</calculatedColumnFormula>
    </tableColumn>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9DB4A06B-788F-4A8C-9CFE-580D97761B12}" name="AttendanceLevels" displayName="AttendanceLevels" ref="F62:I64" totalsRowShown="0" headerRowDxfId="190">
  <autoFilter ref="F62:I64" xr:uid="{9DB4A06B-788F-4A8C-9CFE-580D97761B12}"/>
  <tableColumns count="4">
    <tableColumn id="1" xr3:uid="{C8F9F602-3DBF-4A6A-8BC2-B72347E25F49}" name="Measure"/>
    <tableColumn id="2" xr3:uid="{ED1771B4-8EA2-493C-AC0A-1AC53E0DA7E1}" name="Education &amp; Care" dataDxfId="189">
      <calculatedColumnFormula>G62/40</calculatedColumnFormula>
    </tableColumn>
    <tableColumn id="3" xr3:uid="{55E24899-6374-4EF6-BA54-0A3771B0AE7C}" name="Kindergarten" dataDxfId="188">
      <calculatedColumnFormula>H62/40</calculatedColumnFormula>
    </tableColumn>
    <tableColumn id="4" xr3:uid="{C0466DBF-45FD-43AD-BF24-FE4A38FCB05E}" name="Te Kōhanga Reo*" dataDxfId="187">
      <calculatedColumnFormula>I62/40</calculatedColumnFormula>
    </tableColumn>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FC22ABD1-6D5F-41EE-8EBC-C41EE9C07C3A}" name="CentreBasedHeadcountEnrolmentsLow" displayName="CentreBasedHeadcountEnrolmentsLow" ref="A85:D96" totalsRowShown="0" headerRowDxfId="186" dataDxfId="185">
  <autoFilter ref="A85:D96" xr:uid="{FC22ABD1-6D5F-41EE-8EBC-C41EE9C07C3A}"/>
  <tableColumns count="4">
    <tableColumn id="1" xr3:uid="{CAEF44F9-EA28-411A-B55D-E143B0CB79F8}" name="Year" dataDxfId="184"/>
    <tableColumn id="2" xr3:uid="{B92C63B6-442E-4D19-8D67-6C73D2FCC818}" name="Education &amp; Care" dataDxfId="183">
      <calculatedColumnFormula>MROUND(([1]T15!$Q15*B$77),5)</calculatedColumnFormula>
    </tableColumn>
    <tableColumn id="3" xr3:uid="{AFC1BDB4-E53C-417E-A49D-5CAE8C6C1209}" name="Kindergarten" dataDxfId="182">
      <calculatedColumnFormula>MROUND(([1]T15!$Q15*C$77),5)</calculatedColumnFormula>
    </tableColumn>
    <tableColumn id="5" xr3:uid="{18F8DCB0-3623-49B2-9B68-31BDFA7DB675}" name="Total" dataDxfId="181">
      <calculatedColumnFormula>SUM(B86:C86)</calculatedColumnFormula>
    </tableColumn>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3A5F78AF-8980-4A60-B858-A7EFDE226276}" name="CentreBasedHeadcountEnrolmentsMedium" displayName="CentreBasedHeadcountEnrolmentsMedium" ref="A99:D110" totalsRowShown="0" headerRowDxfId="180" dataDxfId="179">
  <autoFilter ref="A99:D110" xr:uid="{3A5F78AF-8980-4A60-B858-A7EFDE226276}"/>
  <tableColumns count="4">
    <tableColumn id="1" xr3:uid="{8BD577B7-9F55-4D94-812A-E1DDBD1D6DAF}" name="Year" dataDxfId="178"/>
    <tableColumn id="2" xr3:uid="{C5ECD807-B18D-4212-B760-D202EA6C13BC}" name="Education &amp; Care" dataDxfId="177">
      <calculatedColumnFormula>MROUND(([1]T15!$S15*B$77),5)</calculatedColumnFormula>
    </tableColumn>
    <tableColumn id="3" xr3:uid="{43C22B60-2277-4716-B7D2-736FA952C9AA}" name="Kindergarten" dataDxfId="176">
      <calculatedColumnFormula>MROUND(([1]T15!$S15*C$77),5)</calculatedColumnFormula>
    </tableColumn>
    <tableColumn id="5" xr3:uid="{333EB785-5B60-4724-906F-FED15ECE879C}" name="Total" dataDxfId="175">
      <calculatedColumnFormula>SUM(B100:C100)</calculatedColumnFormula>
    </tableColumn>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23A8FAC4-42B4-4891-AA4D-9384F5BD0697}" name="CentreBasedHeadcountEnrolmentsHigh" displayName="CentreBasedHeadcountEnrolmentsHigh" ref="A113:D124" totalsRowShown="0" headerRowDxfId="174" dataDxfId="173">
  <autoFilter ref="A113:D124" xr:uid="{23A8FAC4-42B4-4891-AA4D-9384F5BD0697}"/>
  <tableColumns count="4">
    <tableColumn id="1" xr3:uid="{0835909B-5E60-4FE4-B977-058F6B0C8720}" name="Year" dataDxfId="172"/>
    <tableColumn id="2" xr3:uid="{D6EE663A-2F8E-4DDD-AC31-2D9B017B7FDA}" name="Education &amp; Care" dataDxfId="171">
      <calculatedColumnFormula>MROUND(([1]T15!$T15*B$77),5)</calculatedColumnFormula>
    </tableColumn>
    <tableColumn id="3" xr3:uid="{4D1D5CFB-0F36-44D7-97CB-BCB583CFC88C}" name="Kindergarten" dataDxfId="170">
      <calculatedColumnFormula>MROUND(([1]T15!$T15*C$77),5)</calculatedColumnFormula>
    </tableColumn>
    <tableColumn id="5" xr3:uid="{BBBC0799-7C58-456F-9CD3-4C1265702282}" name="Total" dataDxfId="169">
      <calculatedColumnFormula>SUM(B114:C114)</calculatedColumnFormula>
    </tableColumn>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3A8B1230-F063-4F0F-92F8-85F647BEEC24}" name="RatioMultipliers" displayName="RatioMultipliers" ref="F67:I72" totalsRowShown="0" headerRowDxfId="168">
  <autoFilter ref="F67:I72" xr:uid="{3A8B1230-F063-4F0F-92F8-85F647BEEC24}"/>
  <tableColumns count="4">
    <tableColumn id="1" xr3:uid="{40159C32-F4F4-4A77-8E83-A1DD3F15745F}" name="Group"/>
    <tableColumn id="2" xr3:uid="{8464C305-1B01-41A5-834D-DF7FEC9C8582}" name="Education &amp; Care" dataDxfId="167"/>
    <tableColumn id="3" xr3:uid="{B7F3C087-6026-4E9E-930E-EDC866FC6F6B}" name="Kindergarten" dataDxfId="166"/>
    <tableColumn id="4" xr3:uid="{6BBD4D87-B2A0-4AB5-B940-F28669623905}" name="Te Kōhanga Reo" dataDxfId="165"/>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97E09A3B-5950-48BF-88C6-0E5D41DB9E5A}" name="MarketBreakdown" displayName="MarketBreakdown" ref="F75:I79" totalsRowShown="0" headerRowDxfId="164" dataDxfId="163">
  <autoFilter ref="F75:I79" xr:uid="{97E09A3B-5950-48BF-88C6-0E5D41DB9E5A}"/>
  <tableColumns count="4">
    <tableColumn id="1" xr3:uid="{11E2BC17-9CA4-4699-A7E1-BF9326B5F4D6}" name="Group" dataDxfId="162"/>
    <tableColumn id="2" xr3:uid="{E19CE63E-2FBA-49BA-9126-B351D133B90C}" name="Education &amp; Care" dataDxfId="161"/>
    <tableColumn id="3" xr3:uid="{A900CEEC-DB75-49CA-AE8D-F543FBE301E1}" name="Kindergarten" dataDxfId="160"/>
    <tableColumn id="4" xr3:uid="{25A94BB5-840C-40EC-BFDB-619BA59AD486}" name="Te Kōhanga Reo" dataDxfId="159"/>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51459A53-8196-44AA-A22A-9BFAA098D204}" name="LowScenarioCentreBasedFTEDemand" displayName="LowScenarioCentreBasedFTEDemand" ref="F85:M96" totalsRowShown="0" headerRowDxfId="158" dataDxfId="157">
  <autoFilter ref="F85:M96" xr:uid="{51459A53-8196-44AA-A22A-9BFAA098D204}"/>
  <tableColumns count="8">
    <tableColumn id="1" xr3:uid="{D200A5D9-BC59-4A8C-8409-F899C6E98E58}" name="Year" dataDxfId="156"/>
    <tableColumn id="2" xr3:uid="{58AF6B09-2930-41AD-9D00-9A089FEDF424}" name="Education &amp; Care (under 2s)" dataDxfId="155">
      <calculatedColumnFormula>MROUND(((CentreBasedHeadcountEnrolmentsLow[[#This Row],[Education &amp; Care]]*G$76)*G$70)*'[1]Source-fte_qualstus_x_servtype'!J32,5)</calculatedColumnFormula>
    </tableColumn>
    <tableColumn id="3" xr3:uid="{38A56BB3-635D-4A4B-9210-4B4A7F9E7C83}" name="Education &amp; Care (2s)" dataDxfId="154">
      <calculatedColumnFormula>MROUND(((CentreBasedHeadcountEnrolmentsLow[[#This Row],[Education &amp; Care]]*G$77)*G$71)*'[1]Source-fte_qualstus_x_servtype'!J32,5)</calculatedColumnFormula>
    </tableColumn>
    <tableColumn id="4" xr3:uid="{FA4362CB-E47D-49B7-BBF1-9248E5CBE0E9}" name="Education &amp; Care (3+)" dataDxfId="153">
      <calculatedColumnFormula>MROUND(((CentreBasedHeadcountEnrolmentsLow[[#This Row],[Education &amp; Care]]*SUM(G$78:G$79))*G$72)*'[1]Source-fte_qualstus_x_servtype'!J32,5)</calculatedColumnFormula>
    </tableColumn>
    <tableColumn id="5" xr3:uid="{8C32FD25-969F-4328-A828-F973FDEA4905}" name="Kindergarten (Under 2s)" dataDxfId="152">
      <calculatedColumnFormula>MROUND(((CentreBasedHeadcountEnrolmentsLow[[#This Row],[Kindergarten]]*H$76)*H$70)*'[1]Source-fte_qualstus_x_servtype'!J32,5)</calculatedColumnFormula>
    </tableColumn>
    <tableColumn id="6" xr3:uid="{335D4257-4771-41F5-BAA1-1F833054FDD0}" name="Kindergarten (2s)" dataDxfId="151">
      <calculatedColumnFormula>MROUND(((CentreBasedHeadcountEnrolmentsLow[[#This Row],[Kindergarten]]*H$77)*H$71)*'[1]Source-fte_qualstus_x_servtype'!J32,5)</calculatedColumnFormula>
    </tableColumn>
    <tableColumn id="7" xr3:uid="{C0CBB7E7-AB1C-4928-8589-0F45DE9B268B}" name="Kindergarten (3+)" dataDxfId="150">
      <calculatedColumnFormula>MROUND(((CentreBasedHeadcountEnrolmentsLow[[#This Row],[Kindergarten]]*SUM(H$78:H$79))*H$72)*'[1]Source-fte_qualstus_x_servtype'!J32,5)</calculatedColumnFormula>
    </tableColumn>
    <tableColumn id="10" xr3:uid="{0B4FBC4A-72F4-401F-972B-86ABADF2F23A}" name="Total FTE" dataDxfId="149">
      <calculatedColumnFormula>SUM(G86:L86)</calculatedColumnFormula>
    </tableColumn>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6D3BBE06-AE2F-429A-90CF-4A9386408122}" name="MediumScenarioCentreBasedFTEDemand" displayName="MediumScenarioCentreBasedFTEDemand" ref="F99:M110" totalsRowShown="0" headerRowDxfId="148" dataDxfId="147">
  <autoFilter ref="F99:M110" xr:uid="{6D3BBE06-AE2F-429A-90CF-4A9386408122}"/>
  <tableColumns count="8">
    <tableColumn id="1" xr3:uid="{0E6C1C76-FC9C-4224-8F52-F7D18B69012D}" name="Year" dataDxfId="146"/>
    <tableColumn id="2" xr3:uid="{D9F53985-4734-4347-8B4C-B5D3A08A7F11}" name="Education &amp; Care (under 2s)" dataDxfId="145">
      <calculatedColumnFormula>MROUND(((CentreBasedHeadcountEnrolmentsMedium[[#This Row],[Education &amp; Care]]*G$76)*G$70)*'[1]Source-fte_qualstus_x_servtype'!J32,5)</calculatedColumnFormula>
    </tableColumn>
    <tableColumn id="3" xr3:uid="{AA2F4D6D-3494-453C-A0CE-E6D6DF10FE99}" name="Education &amp; Care (2s)" dataDxfId="144">
      <calculatedColumnFormula>MROUND(((CentreBasedHeadcountEnrolmentsMedium[[#This Row],[Education &amp; Care]]*G$77)*G$71)*'[1]Source-fte_qualstus_x_servtype'!J32,5)</calculatedColumnFormula>
    </tableColumn>
    <tableColumn id="4" xr3:uid="{1D65C93D-E2D3-4CE2-8B13-95B6FC952727}" name="Education &amp; Care (3+)" dataDxfId="143">
      <calculatedColumnFormula>MROUND(((CentreBasedHeadcountEnrolmentsMedium[[#This Row],[Education &amp; Care]]*SUM(G$78:G$79))*G$72)*'[1]Source-fte_qualstus_x_servtype'!J32,5)</calculatedColumnFormula>
    </tableColumn>
    <tableColumn id="5" xr3:uid="{5B26FF1A-8DFD-4D92-ADA9-52B6E04665B7}" name="Kindergarten (Under 2s)" dataDxfId="142">
      <calculatedColumnFormula>MROUND(((CentreBasedHeadcountEnrolmentsMedium[[#This Row],[Kindergarten]]*H$76)*H$70)*'[1]Source-fte_qualstus_x_servtype'!J32,5)</calculatedColumnFormula>
    </tableColumn>
    <tableColumn id="6" xr3:uid="{EFDA4359-C5A6-4CFC-94B0-A0E2261ECE39}" name="Kindergarten (2s)" dataDxfId="141">
      <calculatedColumnFormula>MROUND(((CentreBasedHeadcountEnrolmentsMedium[[#This Row],[Kindergarten]]*H$77)*H$71)*'[1]Source-fte_qualstus_x_servtype'!J32,5)</calculatedColumnFormula>
    </tableColumn>
    <tableColumn id="7" xr3:uid="{27E2D1DE-D3A4-4E93-805B-1BCEF453DA9F}" name="Kindergarten (3+)" dataDxfId="140">
      <calculatedColumnFormula>MROUND(((CentreBasedHeadcountEnrolmentsMedium[[#This Row],[Kindergarten]]*SUM(H$78:H$79))*H$72)*'[1]Source-fte_qualstus_x_servtype'!J32,5)</calculatedColumnFormula>
    </tableColumn>
    <tableColumn id="10" xr3:uid="{685710D2-6DAE-4838-84A1-84FC1D11F17F}" name="Total FTE" dataDxfId="139">
      <calculatedColumnFormula>SUM(G100:L100)</calculatedColumnFormula>
    </tableColumn>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5EE6FA6D-A1A8-471B-B55D-BEE7C107DFF3}" name="HighScenarioCentreBasedFTEDemand" displayName="HighScenarioCentreBasedFTEDemand" ref="F113:M124" totalsRowShown="0" headerRowDxfId="138" dataDxfId="137">
  <autoFilter ref="F113:M124" xr:uid="{5EE6FA6D-A1A8-471B-B55D-BEE7C107DFF3}"/>
  <tableColumns count="8">
    <tableColumn id="1" xr3:uid="{022972D9-70E0-486A-BF3E-F34BDDEF813D}" name="Year" dataDxfId="136"/>
    <tableColumn id="2" xr3:uid="{04DA8793-2186-4741-BD2F-A6B8F03F1A18}" name="Education &amp; Care (under 2s)" dataDxfId="135">
      <calculatedColumnFormula>MROUND(((CentreBasedHeadcountEnrolmentsHigh[[#This Row],[Education &amp; Care]]*G$76)*G$70)*'[1]Source-fte_qualstus_x_servtype'!J32,5)</calculatedColumnFormula>
    </tableColumn>
    <tableColumn id="3" xr3:uid="{5FCDF6C8-2DE5-4A47-AB0F-B3D48A8E6927}" name="Education &amp; Care (2s)" dataDxfId="134">
      <calculatedColumnFormula>MROUND(((CentreBasedHeadcountEnrolmentsHigh[[#This Row],[Education &amp; Care]]*G$77)*G$71)*'[1]Source-fte_qualstus_x_servtype'!J32,5)</calculatedColumnFormula>
    </tableColumn>
    <tableColumn id="4" xr3:uid="{2471810A-1ED8-447F-A626-760E9C0D7D14}" name="Education &amp; Care (3+)" dataDxfId="133">
      <calculatedColumnFormula>MROUND(((CentreBasedHeadcountEnrolmentsHigh[[#This Row],[Education &amp; Care]]*SUM(G$78:G$79))*G$72)*'[1]Source-fte_qualstus_x_servtype'!J32,5)</calculatedColumnFormula>
    </tableColumn>
    <tableColumn id="5" xr3:uid="{81C65C87-E2BD-448C-8395-AD0606AB29E5}" name="Kindergarten (Under 2s)" dataDxfId="132">
      <calculatedColumnFormula>MROUND(((CentreBasedHeadcountEnrolmentsHigh[[#This Row],[Kindergarten]]*H$76)*H$70)*'[1]Source-fte_qualstus_x_servtype'!J32,5)</calculatedColumnFormula>
    </tableColumn>
    <tableColumn id="6" xr3:uid="{44C234F9-3B5E-4B69-B7D4-DAEA48F8176E}" name="Kindergarten (2s)" dataDxfId="131">
      <calculatedColumnFormula>MROUND(((CentreBasedHeadcountEnrolmentsHigh[[#This Row],[Kindergarten]]*H$77)*H$71)*'[1]Source-fte_qualstus_x_servtype'!J32,5)</calculatedColumnFormula>
    </tableColumn>
    <tableColumn id="7" xr3:uid="{CC71F738-7B7B-4FDA-ACE6-1B95BB3B3268}" name="Kindergarten (3+)" dataDxfId="130">
      <calculatedColumnFormula>MROUND(((CentreBasedHeadcountEnrolmentsHigh[[#This Row],[Kindergarten]]*SUM(H$78:H$79))*H$72)*'[1]Source-fte_qualstus_x_servtype'!J32,5)</calculatedColumnFormula>
    </tableColumn>
    <tableColumn id="10" xr3:uid="{E1921FFD-6760-4D1A-93D8-0AAA8428AA63}" name="Total FTE" dataDxfId="129">
      <calculatedColumnFormula>SUM(G114:L114)</calculatedColumnFormula>
    </tableColumn>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6DF0AC7E-3779-47F7-B0E8-BAA892D520A8}" name="QualifiedStaffMultipliers" displayName="QualifiedStaffMultipliers" ref="K62:M65" totalsRowShown="0">
  <autoFilter ref="K62:M65" xr:uid="{6DF0AC7E-3779-47F7-B0E8-BAA892D520A8}"/>
  <tableColumns count="3">
    <tableColumn id="1" xr3:uid="{DADBF4F1-028A-4DFC-BE4E-49AD08A95446}" name="Target"/>
    <tableColumn id="2" xr3:uid="{22C3F2CD-718F-408E-9043-26BFA22971BA}" name="Education &amp; Care" dataDxfId="128"/>
    <tableColumn id="3" xr3:uid="{9F031DC7-5EAB-4707-8BC1-282DECCB7DC4}" name="Kindergarten" dataDxfId="127"/>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A178313A-5129-4153-BB5C-FD4BF68A63D0}" name="LowScenarioQualifedFTE" displayName="LowScenarioQualifedFTE" ref="O85:R96" totalsRowShown="0" headerRowDxfId="126" dataDxfId="125">
  <autoFilter ref="O85:R96" xr:uid="{A178313A-5129-4153-BB5C-FD4BF68A63D0}"/>
  <tableColumns count="4">
    <tableColumn id="1" xr3:uid="{B75B2D2D-60F8-49F9-9049-F709270F2A92}" name="Year" dataDxfId="124"/>
    <tableColumn id="2" xr3:uid="{D665FEDA-D784-455F-9F4D-952C7B1A4685}" name="Education &amp; Care" dataDxfId="123">
      <calculatedColumnFormula>MROUND(SUM(LowScenarioCentreBasedFTEDemand[[#This Row],[Education &amp; Care (under 2s)]:[Education &amp; Care (3+)]])*L$63,5)</calculatedColumnFormula>
    </tableColumn>
    <tableColumn id="3" xr3:uid="{7EAF9076-5183-4C56-9232-B26C8529704B}" name="Kindergarten" dataDxfId="122">
      <calculatedColumnFormula>MROUND(SUM(LowScenarioCentreBasedFTEDemand[[#This Row],[Kindergarten (Under 2s)]:[Kindergarten (3+)]])*M$63,5)</calculatedColumnFormula>
    </tableColumn>
    <tableColumn id="4" xr3:uid="{CFCF5D13-D45A-45D8-A9C4-38BEA9E71A93}" name="Total FTE" dataDxfId="121">
      <calculatedColumnFormula>SUM(P86:Q86)</calculatedColumnFormula>
    </tableColumn>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C8DA241A-BB8D-4EB2-AD5F-4173524BE350}" name="MediumScenarioQualifiedFTE" displayName="MediumScenarioQualifiedFTE" ref="O99:R110" totalsRowShown="0" headerRowDxfId="120" dataDxfId="119">
  <autoFilter ref="O99:R110" xr:uid="{C8DA241A-BB8D-4EB2-AD5F-4173524BE350}"/>
  <tableColumns count="4">
    <tableColumn id="1" xr3:uid="{2842ED83-4DDD-49A3-8CE8-900D32417579}" name="Year" dataDxfId="118"/>
    <tableColumn id="2" xr3:uid="{1296774C-0BC6-4509-ABDA-B8FB17C80FC3}" name="Education &amp; Care" dataDxfId="117">
      <calculatedColumnFormula>MROUND(SUM(MediumScenarioCentreBasedFTEDemand[[#This Row],[Education &amp; Care (under 2s)]:[Education &amp; Care (3+)]])*L$64,5)</calculatedColumnFormula>
    </tableColumn>
    <tableColumn id="3" xr3:uid="{25BB8DB8-7E5C-4204-9D56-315FAB68E2DE}" name="Kindergarten" dataDxfId="116">
      <calculatedColumnFormula>MROUND(SUM(MediumScenarioCentreBasedFTEDemand[[#This Row],[Kindergarten (Under 2s)]:[Kindergarten (3+)]])*M$64,5)</calculatedColumnFormula>
    </tableColumn>
    <tableColumn id="4" xr3:uid="{71587E79-5AC4-4EEA-9A21-DFCD6EEBD647}" name="Total FTE" dataDxfId="115">
      <calculatedColumnFormula>SUM(P100:Q100)</calculatedColumnFormula>
    </tableColumn>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BD74B00-C20B-4D96-BEBC-C619C3772E95}" name="HighScenarioQualifiedFTE" displayName="HighScenarioQualifiedFTE" ref="O113:R124" totalsRowShown="0" headerRowDxfId="114" dataDxfId="113">
  <autoFilter ref="O113:R124" xr:uid="{0BD74B00-C20B-4D96-BEBC-C619C3772E95}"/>
  <tableColumns count="4">
    <tableColumn id="1" xr3:uid="{3837ED89-FA0E-49E9-B8A2-E02DA450ACC4}" name="Year" dataDxfId="112"/>
    <tableColumn id="2" xr3:uid="{5EE8BAEF-C85E-41DF-B029-B9DF0C3ABF32}" name="Education &amp; Care" dataDxfId="111">
      <calculatedColumnFormula>MROUND(SUM(HighScenarioCentreBasedFTEDemand[[#This Row],[Education &amp; Care (under 2s)]:[Education &amp; Care (3+)]])*L$65,5)</calculatedColumnFormula>
    </tableColumn>
    <tableColumn id="3" xr3:uid="{5DFFF46C-6D4D-4DC3-A789-39702F2DB919}" name="Kindergarten" dataDxfId="110">
      <calculatedColumnFormula>MROUND(SUM(HighScenarioCentreBasedFTEDemand[[#This Row],[Kindergarten (Under 2s)]:[Kindergarten (3+)]])*M$63,5)</calculatedColumnFormula>
    </tableColumn>
    <tableColumn id="4" xr3:uid="{A60A5735-9F73-4800-8F1A-AA87DCE00FAC}" name="Total FTE" dataDxfId="109">
      <calculatedColumnFormula>SUM(P114:Q114)</calculatedColumnFormula>
    </tableColumn>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EF3876E2-158F-4D6F-BBDB-AB32591BD72B}" name="ComplianceScenarioEnrolments" displayName="ComplianceScenarioEnrolments" ref="A127:D138" totalsRowShown="0" headerRowDxfId="108">
  <autoFilter ref="A127:D138" xr:uid="{EF3876E2-158F-4D6F-BBDB-AB32591BD72B}"/>
  <tableColumns count="4">
    <tableColumn id="1" xr3:uid="{3F2404FA-E160-4A4A-BB7C-01A0B7CEF107}" name="Year" dataDxfId="107"/>
    <tableColumn id="2" xr3:uid="{B61AC4ED-2CC1-4715-B852-06408E080598}" name="Education &amp; Care" dataDxfId="106"/>
    <tableColumn id="3" xr3:uid="{6EECC4CD-BA2A-4198-A484-8F95345497C9}" name="Kindergarten" dataDxfId="105"/>
    <tableColumn id="4" xr3:uid="{39D50961-5030-438C-AA2A-A354B3F81422}" name="Total" dataDxfId="104"/>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B2CD41EA-EFEC-4695-BD32-D1E3388A0AA4}" name="HighScenarioCentreBasedFTEDemand12" displayName="HighScenarioCentreBasedFTEDemand12" ref="F127:M138" totalsRowShown="0" headerRowDxfId="103" dataDxfId="102">
  <autoFilter ref="F127:M138" xr:uid="{B2CD41EA-EFEC-4695-BD32-D1E3388A0AA4}"/>
  <tableColumns count="8">
    <tableColumn id="1" xr3:uid="{FAAEDE2E-90BA-40CC-85F3-E2A27120DB8C}" name="Year" dataDxfId="101"/>
    <tableColumn id="2" xr3:uid="{17F30506-902E-4381-ADE7-657202717C7B}" name="Education &amp; Care (under 2s)" dataDxfId="100">
      <calculatedColumnFormula>MROUND(((ComplianceScenarioEnrolments[[#This Row],[Education &amp; Care]]*G$76)*G$70)*'[1]Source-fte_qualstus_x_servtype'!J31,5)</calculatedColumnFormula>
    </tableColumn>
    <tableColumn id="3" xr3:uid="{BEE2AC60-2EDD-454A-A561-84622A6F702D}" name="Education &amp; Care (2s)" dataDxfId="99">
      <calculatedColumnFormula>MROUND(((ComplianceScenarioEnrolments[[#This Row],[Education &amp; Care]]*G$77)*G$71)*'[1]Source-fte_qualstus_x_servtype'!J31,5)</calculatedColumnFormula>
    </tableColumn>
    <tableColumn id="4" xr3:uid="{9EAF1B2D-B66F-43BA-A82A-7CE702DEE0E9}" name="Education &amp; Care (3+)" dataDxfId="98">
      <calculatedColumnFormula>MROUND(((ComplianceScenarioEnrolments[[#This Row],[Education &amp; Care]]*SUM(G$78:G$79))*G$72)*'[1]Source-fte_qualstus_x_servtype'!J31,5)</calculatedColumnFormula>
    </tableColumn>
    <tableColumn id="5" xr3:uid="{9490FB75-79E3-4BDA-A808-378FA5BCE774}" name="Kindergarten (Under 2s)" dataDxfId="97">
      <calculatedColumnFormula>MROUND(((ComplianceScenarioEnrolments[[#This Row],[Kindergarten]]*H$76)*H$70)*'[1]Source-fte_qualstus_x_servtype'!J31,5)</calculatedColumnFormula>
    </tableColumn>
    <tableColumn id="6" xr3:uid="{54E028E7-0B41-4271-B71B-C34E7F8BF346}" name="Kindergarten (2s)" dataDxfId="96">
      <calculatedColumnFormula>MROUND(((ComplianceScenarioEnrolments[[#This Row],[Kindergarten]]*H$77)*H$71)*'[1]Source-fte_qualstus_x_servtype'!J31,5)</calculatedColumnFormula>
    </tableColumn>
    <tableColumn id="7" xr3:uid="{998613A8-4E82-4D19-BF5F-485A74D4202A}" name="Kindergarten (3+)" dataDxfId="95">
      <calculatedColumnFormula>MROUND(((ComplianceScenarioEnrolments[[#This Row],[Kindergarten]]*SUM(H$78:H$79))*H$72)*'[1]Source-fte_qualstus_x_servtype'!J31,5)</calculatedColumnFormula>
    </tableColumn>
    <tableColumn id="10" xr3:uid="{45AC7D3B-6A20-4580-A30C-E600E97FCE45}" name="Total FTE" dataDxfId="94">
      <calculatedColumnFormula>SUM(G128:L128)</calculatedColumnFormula>
    </tableColumn>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CF160224-E194-4FD4-BA42-90C86888FBE8}" name="ComplianceScenarioFTENeeded" displayName="ComplianceScenarioFTENeeded" ref="O127:R138" totalsRowShown="0" headerRowDxfId="93" dataDxfId="92">
  <autoFilter ref="O127:R138" xr:uid="{CF160224-E194-4FD4-BA42-90C86888FBE8}"/>
  <tableColumns count="4">
    <tableColumn id="1" xr3:uid="{C4AA8C9A-C4B1-4187-AA47-4E4033E807AC}" name="Year" dataDxfId="91"/>
    <tableColumn id="2" xr3:uid="{D6690020-BF99-470B-8753-32FE6E7FF159}" name="Education &amp; Care" dataDxfId="90">
      <calculatedColumnFormula>SUM(HighScenarioCentreBasedFTEDemand12[[#This Row],[Education &amp; Care (2s)]:[Kindergarten (Under 2s)]])</calculatedColumnFormula>
    </tableColumn>
    <tableColumn id="3" xr3:uid="{2DA8B9C9-B0AF-47E2-9EBD-282605B5496B}" name="Kindergarten" dataDxfId="89">
      <calculatedColumnFormula>SUM(HighScenarioCentreBasedFTEDemand12[[#This Row],[Kindergarten (Under 2s)]:[Kindergarten (3+)]])</calculatedColumnFormula>
    </tableColumn>
    <tableColumn id="4" xr3:uid="{84E17591-EA9C-4001-A225-8E79C0B8859B}" name="Total FTE" dataDxfId="88">
      <calculatedColumnFormula>SUM(P128:Q128)</calculatedColumnFormula>
    </tableColumn>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3FB4F014-E0A3-461A-8132-3109E38F6407}" name="Table12" displayName="Table12" ref="A5:F11" totalsRowShown="0" headerRowDxfId="87" dataDxfId="86">
  <autoFilter ref="A5:F11" xr:uid="{3FB4F014-E0A3-461A-8132-3109E38F6407}"/>
  <tableColumns count="6">
    <tableColumn id="1" xr3:uid="{D586848A-380C-4F0F-8242-701886960379}" name="Visa type" dataDxfId="85"/>
    <tableColumn id="2" xr3:uid="{636C4B05-8138-4742-A010-5FBF6714A4D9}" name="Census" dataDxfId="84"/>
    <tableColumn id="3" xr3:uid="{2A6D4213-C714-4551-820D-588AF4D58A14}" name="Population #" dataDxfId="83"/>
    <tableColumn id="5" xr3:uid="{CE974F92-7AE5-4B6D-B3A0-3BA3FABABFF2}" name="Population %" dataDxfId="82"/>
    <tableColumn id="4" xr3:uid="{F4C83F5E-BB3D-4EBC-B174-CAE3FE3D787C}" name="ECE workforce #" dataDxfId="81"/>
    <tableColumn id="6" xr3:uid="{3A162C54-CB65-47A4-8F0F-740053541141}" name="ECE workforce %" dataDxfId="80"/>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0C1767C-3119-4948-88D1-3BCF16B39212}" name="Table7" displayName="Table7" ref="A17:B75" totalsRowShown="0">
  <autoFilter ref="A17:B75" xr:uid="{10C1767C-3119-4948-88D1-3BCF16B39212}"/>
  <sortState xmlns:xlrd2="http://schemas.microsoft.com/office/spreadsheetml/2017/richdata2" ref="A18:B75">
    <sortCondition descending="1" ref="B17:B75"/>
  </sortState>
  <tableColumns count="2">
    <tableColumn id="1" xr3:uid="{82F6BDEE-0AB4-49D3-B09C-E25BD6CFC136}" name="Originating sector"/>
    <tableColumn id="3" xr3:uid="{B18C82C1-23A4-468A-AD6B-475DE69DC94F}" name="% of industry changers" dataDxfId="79"/>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F8A6E3E2-E2B2-49D4-849D-B8BAD06C0859}" name="Table109" displayName="Table109" ref="A6:B13" totalsRowShown="0">
  <autoFilter ref="A6:B13" xr:uid="{F8A6E3E2-E2B2-49D4-849D-B8BAD06C0859}"/>
  <tableColumns count="2">
    <tableColumn id="1" xr3:uid="{3C6746B1-13FC-44FC-B98F-E6B836F9E86B}" name="Prior activity"/>
    <tableColumn id="2" xr3:uid="{FF0EC042-1037-471D-8ED1-FCCB078F6BEF}" name="%" dataDxfId="78"/>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B0283CF5-CF2F-4AD8-86BF-5CC085A960ED}" name="Table1522" displayName="Table1522" ref="A82:G89" totalsRowShown="0">
  <autoFilter ref="A82:G89" xr:uid="{B0283CF5-CF2F-4AD8-86BF-5CC085A960ED}"/>
  <tableColumns count="7">
    <tableColumn id="1" xr3:uid="{8A3EFAAB-7544-4145-8DAE-CFB5C729495F}" name="Ethnicity"/>
    <tableColumn id="2" xr3:uid="{F7BDF936-DD1A-440C-8198-D658961D962F}" name="Benefits" dataDxfId="77"/>
    <tableColumn id="3" xr3:uid="{61DA1D9B-DA92-479E-99D0-D85BCF6225C9}" name="Industry changer" dataDxfId="76"/>
    <tableColumn id="4" xr3:uid="{6A12CC9C-6B6D-40E2-9B15-A0BDEC2C1116}" name="Other" dataDxfId="75"/>
    <tableColumn id="5" xr3:uid="{DEF9401A-A910-4B85-AE0F-8DC67EA6A6B3}" name="Overseas" dataDxfId="74"/>
    <tableColumn id="6" xr3:uid="{A13DA896-62FE-40F2-B215-6D45045CAA3D}" name="Tertiary" dataDxfId="73"/>
    <tableColumn id="7" xr3:uid="{1909AA6B-46DA-4E7B-B3D6-9345EAB9461A}" name="Grand Total" dataDxfId="72"/>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7DE2F86-CA22-42A3-8825-4DB27AC55AE1}" name="Table4" displayName="Table4" ref="A5:E11" totalsRowShown="0">
  <autoFilter ref="A5:E11" xr:uid="{57DE2F86-CA22-42A3-8825-4DB27AC55AE1}"/>
  <tableColumns count="5">
    <tableColumn id="1" xr3:uid="{D76B4FE1-ECDA-4FE6-924B-909FDE0CDAFC}" name="Months employed (not always consecutive)"/>
    <tableColumn id="5" xr3:uid="{44E4631B-9BA7-4EA2-8D07-A3EF7373B6D2}" name="Years employed"/>
    <tableColumn id="2" xr3:uid="{A733C9E4-CE3A-4D13-B128-20A4FE5A8433}" name="Number of people"/>
    <tableColumn id="3" xr3:uid="{3335C1F6-BAE3-4510-A83E-0B406D5B6CEE}" name="Midpoint (months)"/>
    <tableColumn id="4" xr3:uid="{8B6148EE-853D-463A-B132-E99B211A993F}" name="Weighting">
      <calculatedColumnFormula>D6*C6</calculatedColumnFormula>
    </tableColumn>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A25F11E-4A66-4A38-97BB-E9D639099E5B}" name="Table19" displayName="Table19" ref="A10:K16" totalsRowShown="0" headerRowDxfId="71">
  <autoFilter ref="A10:K16" xr:uid="{7A25F11E-4A66-4A38-97BB-E9D639099E5B}"/>
  <tableColumns count="11">
    <tableColumn id="1" xr3:uid="{476E8288-1929-4F1C-9937-62CC549B3181}" name="Role"/>
    <tableColumn id="9" xr3:uid="{4409F8D2-BAEB-40F3-BE40-1BD39F4AFA9B}" name="2014"/>
    <tableColumn id="8" xr3:uid="{837B3082-9FB0-420D-84ED-F29A81CDB641}" name="2015"/>
    <tableColumn id="7" xr3:uid="{AB1CC221-1F49-43D9-8E20-AEAC166A65D4}" name="2016"/>
    <tableColumn id="6" xr3:uid="{FE12CC4E-1884-4E64-A910-8007E02AB125}" name="2017"/>
    <tableColumn id="5" xr3:uid="{C35D702F-778D-4BBC-9D90-2DA97E28E233}" name="2018"/>
    <tableColumn id="4" xr3:uid="{FEED0E6D-CC22-4107-9CE5-F4367C984B32}" name="2019"/>
    <tableColumn id="10" xr3:uid="{270CB04E-1CA3-42DB-B979-459320E76F58}" name="2020"/>
    <tableColumn id="11" xr3:uid="{B167B38D-5A56-4C19-833C-3452890CC166}" name="2021"/>
    <tableColumn id="3" xr3:uid="{D6719522-C9A1-4DF9-9A7B-CAAA48FB0687}" name="2022"/>
    <tableColumn id="2" xr3:uid="{301F7FAD-D6C1-4F8E-AAC8-459AE46B4341}" name="2023"/>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B5089F4E-2CEE-43BB-8C57-C8A7EC300A03}" name="Table9" displayName="Table9" ref="A5:G38" totalsRowShown="0" headerRowDxfId="70" dataDxfId="69">
  <autoFilter ref="A5:G38" xr:uid="{B5089F4E-2CEE-43BB-8C57-C8A7EC300A03}"/>
  <sortState xmlns:xlrd2="http://schemas.microsoft.com/office/spreadsheetml/2017/richdata2" ref="A6:G38">
    <sortCondition ref="B6:B38"/>
    <sortCondition ref="A6:A38"/>
  </sortState>
  <tableColumns count="7">
    <tableColumn id="1" xr3:uid="{16AF1776-04A6-4E04-87D3-BD7FF62CD19A}" name="Age group" dataDxfId="68"/>
    <tableColumn id="2" xr3:uid="{B208967B-15A1-48B2-A600-79E7993761C1}" name="Census" dataDxfId="67"/>
    <tableColumn id="3" xr3:uid="{99248F17-4C92-4C6C-82F1-C933775308D8}" name="Group" dataDxfId="66"/>
    <tableColumn id="4" xr3:uid="{D32DD40D-C76E-4DD0-9CFE-96C123633513}" name="# population" dataDxfId="65"/>
    <tableColumn id="5" xr3:uid="{7FE2E2DF-7F77-4FA5-9195-BE131D640FE2}" name="# ECE workforce" dataDxfId="64"/>
    <tableColumn id="6" xr3:uid="{07B4E08F-AD02-43EF-BA2E-4ED180BBA7D5}" name="% population" dataDxfId="63"/>
    <tableColumn id="7" xr3:uid="{5C94D946-7D4C-492A-BAA6-1000A8ADE9C8}" name="% ECE workforce" dataDxfId="62"/>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F3037392-140E-42EE-B5FE-BE3C1D937619}" name="Table11" displayName="Table11" ref="A6:J24" totalsRowShown="0">
  <autoFilter ref="A6:J24" xr:uid="{F3037392-140E-42EE-B5FE-BE3C1D937619}"/>
  <tableColumns count="10">
    <tableColumn id="1" xr3:uid="{5C57B038-4977-46E0-A061-02CF5AFEFDBB}" name="Census year"/>
    <tableColumn id="2" xr3:uid="{D55A3383-0A1D-4767-93EF-BD0FDFCD7BE7}" name="Ethnicity"/>
    <tableColumn id="3" xr3:uid="{C71D9804-0695-49A1-983E-3155E9A43E97}" name="# Under 5s"/>
    <tableColumn id="4" xr3:uid="{C687BBD0-8623-42CD-B63B-3684D84C940E}" name="# General population"/>
    <tableColumn id="5" xr3:uid="{C82DB448-0352-4A21-AC2B-CAEE436A8962}" name="# Enrolled ECE learners"/>
    <tableColumn id="6" xr3:uid="{5573CB2E-5378-43E4-AC9E-395E18D8509F}" name="# ECE workforce*"/>
    <tableColumn id="7" xr3:uid="{BC8F640E-7246-4051-AA77-0EA403D90AF1}" name="% Under 5s"/>
    <tableColumn id="8" xr3:uid="{5CDEF92A-4C68-495F-844B-CB9B4A4B549D}" name="% General population"/>
    <tableColumn id="9" xr3:uid="{F1FA4F93-3D5B-4CA4-98F3-493A4CC775C1}" name="% Enrolled ECE learners"/>
    <tableColumn id="10" xr3:uid="{D645C7CB-B1A5-4960-8A92-32E5AE7B3306}" name="% ECE workforce"/>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7F75DE0A-7592-4A58-B160-2F75207D7330}" name="Table13" displayName="Table13" ref="A28:C37" totalsRowShown="0">
  <autoFilter ref="A28:C37" xr:uid="{7F75DE0A-7592-4A58-B160-2F75207D7330}"/>
  <tableColumns count="3">
    <tableColumn id="1" xr3:uid="{0F31FF11-81B6-4836-A864-696E034631F2}" name="Census year"/>
    <tableColumn id="2" xr3:uid="{0EABF838-EB3E-40E3-985A-33199E423685}" name="Group"/>
    <tableColumn id="3" xr3:uid="{7F9A3E0E-ECCA-4B6B-955A-3D564B94F828}" name="Total people"/>
  </tableColumns>
  <tableStyleInfo name="TableStyleMedium2"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34C15975-8BEA-4FA7-8DA0-092D7920A73F}" name="Table1023" displayName="Table1023" ref="A45:E75" totalsRowShown="0">
  <autoFilter ref="A45:E75" xr:uid="{34C15975-8BEA-4FA7-8DA0-092D7920A73F}"/>
  <sortState xmlns:xlrd2="http://schemas.microsoft.com/office/spreadsheetml/2017/richdata2" ref="A46:E75">
    <sortCondition ref="B6:B35"/>
    <sortCondition ref="A6:A35"/>
  </sortState>
  <tableColumns count="5">
    <tableColumn id="1" xr3:uid="{4E4D25E9-5430-48F4-B7F5-811ACAF542A5}" name="Year"/>
    <tableColumn id="2" xr3:uid="{44F3F6D5-59C2-4BCE-BD59-85C43D48E5BD}" name="Ethnicity"/>
    <tableColumn id="3" xr3:uid="{195315EA-1C74-4ED4-B3FA-CD3EB41F7169}" name="Group"/>
    <tableColumn id="4" xr3:uid="{2B75E0EC-E163-46FA-9B73-67590A16D160}" name="# people"/>
    <tableColumn id="5" xr3:uid="{4FCBB1DE-C426-4E48-B2EA-382832A3BA3F}" name="% of people"/>
  </tableColumns>
  <tableStyleInfo name="TableStyleMedium2"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2032ADCB-E1BE-4981-BBB0-D5C08E2620F4}" name="Table132024" displayName="Table132024" ref="A82:C91" totalsRowShown="0">
  <autoFilter ref="A82:C91" xr:uid="{2032ADCB-E1BE-4981-BBB0-D5C08E2620F4}"/>
  <tableColumns count="3">
    <tableColumn id="1" xr3:uid="{41A2AA8B-0F5E-48DF-806B-C4636DD96431}" name="Census year"/>
    <tableColumn id="2" xr3:uid="{625CF89B-4DE4-49A9-8C8F-679BE633A0EE}" name="Group"/>
    <tableColumn id="3" xr3:uid="{473DABD9-84B1-484D-97A6-14F529838107}" name="Total people"/>
  </tableColumns>
  <tableStyleInfo name="TableStyleMedium2"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FCD0A7B4-CC3E-48A2-95AB-FBDF2B1ECDE2}" name="Table24" displayName="Table24" ref="A6:C15" totalsRowShown="0">
  <autoFilter ref="A6:C15" xr:uid="{69CE5B50-B85D-42F8-802D-0A06FD54BC94}"/>
  <tableColumns count="3">
    <tableColumn id="1" xr3:uid="{3A7CE7CA-4ADF-4AC1-8E94-155CCDDFFA53}" name="Highest qual level"/>
    <tableColumn id="2" xr3:uid="{55C94ECD-E02C-483C-BC90-2A895EEE6F1F}" name="General population" dataDxfId="61"/>
    <tableColumn id="3" xr3:uid="{62B54EB8-D16B-4D07-92AE-C13BED7ADB63}" name="ECE workforce" dataDxfId="60"/>
  </tableColumns>
  <tableStyleInfo name="TableStyleMedium2"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E23A35BB-B7BE-43F9-A605-B3B3BFD77F14}" name="Table29" displayName="Table29" ref="A55:F163" totalsRowShown="0" headerRowDxfId="59" dataDxfId="58">
  <autoFilter ref="A55:F163" xr:uid="{5FDA48C2-1462-4565-83DD-D60107C57C28}">
    <filterColumn colId="2">
      <filters>
        <filter val="Qualified"/>
      </filters>
    </filterColumn>
  </autoFilter>
  <tableColumns count="6">
    <tableColumn id="1" xr3:uid="{33BDDBB9-2C03-4EB7-AFED-810EB5F6BD68}" name="Service Type" dataDxfId="57"/>
    <tableColumn id="2" xr3:uid="{FC63B329-AEE7-41C9-A57C-8A58F811425E}" name="Year" dataDxfId="56"/>
    <tableColumn id="3" xr3:uid="{74C0DB4C-7EFF-4E68-969F-CD21D073FD61}" name="Status" dataDxfId="55"/>
    <tableColumn id="4" xr3:uid="{BA651980-96E3-499E-8098-0152EF87EF98}" name="Number of people" dataDxfId="54"/>
    <tableColumn id="5" xr3:uid="{CC855F9A-0CD7-4F2E-9158-E3FCCCC7B358}" name="% of people" dataDxfId="53"/>
    <tableColumn id="6" xr3:uid="{9C09BEC5-1747-4802-AAE2-C41C5F891D02}" name="Required threshold" dataDxfId="52"/>
  </tableColumns>
  <tableStyleInfo name="TableStyleMedium2"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6B5880B6-9084-46C0-B044-994D891523EB}" name="Table30" displayName="Table30" ref="A168:E186" totalsRowShown="0">
  <autoFilter ref="A168:E186" xr:uid="{E78388A7-87D6-4CCC-B8C7-3647CAE4D793}"/>
  <tableColumns count="5">
    <tableColumn id="1" xr3:uid="{EFC00778-ED96-4F4F-93A8-DB2E83229891}" name="Year"/>
    <tableColumn id="2" xr3:uid="{08D3C0B9-2A10-4933-87B9-DA70827BA5C0}" name="Status"/>
    <tableColumn id="3" xr3:uid="{5B599885-A8A6-42C7-B660-CE6D78258A33}" name="Number of people">
      <calculatedColumnFormula>SUMIFS(Table29[Number of people],Table29[Year],Table30[[#This Row],[Year]],Table29[Status],Table30[[#This Row],[Status]])</calculatedColumnFormula>
    </tableColumn>
    <tableColumn id="4" xr3:uid="{DD2B934B-4D02-47D4-B025-13DE92D59423}" name="% qualified"/>
    <tableColumn id="5" xr3:uid="{6600BF46-35DE-4576-854E-4346289546BB}" name="Regulated threshold"/>
  </tableColumns>
  <tableStyleInfo name="TableStyleMedium2"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5C359537-AC52-4EDE-A266-A902846B0167}" name="Table3565" displayName="Table3565" ref="A6:D36" totalsRowShown="0" headerRowDxfId="51" headerRowBorderDxfId="49" tableBorderDxfId="50" totalsRowBorderDxfId="48">
  <autoFilter ref="A6:D36" xr:uid="{5C359537-AC52-4EDE-A266-A902846B0167}"/>
  <tableColumns count="4">
    <tableColumn id="2" xr3:uid="{90654153-E807-4DCC-B3E3-F339C1D94CE0}" name="Service Type" dataDxfId="47"/>
    <tableColumn id="1" xr3:uid="{A9A2D131-F10E-4D7F-9AEC-23A1205A2B5D}" name="Year" dataDxfId="46"/>
    <tableColumn id="3" xr3:uid="{2DA57F73-9F5B-4022-B37E-82B56F9B3CA5}" name="% of people" dataDxfId="45"/>
    <tableColumn id="4" xr3:uid="{4D17CC77-D5F2-4D0C-BF8D-7F6FAE5AE1D7}" name="Required threshold" dataDxfId="44"/>
  </tableColumns>
  <tableStyleInfo name="TableStyleMedium2"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50EC5A94-489E-4D37-BD0F-C4F1B7FA6711}" name="Table26" displayName="Table26" ref="A7:L67" totalsRowShown="0" headerRowDxfId="43" dataDxfId="42" dataCellStyle="Normal 3">
  <autoFilter ref="A7:L67" xr:uid="{96E0FE2C-91B8-4BCB-AA90-345CF5C687F6}"/>
  <sortState xmlns:xlrd2="http://schemas.microsoft.com/office/spreadsheetml/2017/richdata2" ref="A8:L67">
    <sortCondition ref="A8:A67"/>
    <sortCondition ref="B8:B67"/>
  </sortState>
  <tableColumns count="12">
    <tableColumn id="1" xr3:uid="{64F422B5-476C-4A77-8275-BBA8D41544C6}" name="Year" dataDxfId="41"/>
    <tableColumn id="11" xr3:uid="{4CA79B72-F520-43E5-95DB-7886302EE228}" name="Group" dataDxfId="40"/>
    <tableColumn id="12" xr3:uid="{E7A9DFFE-F498-4F5F-BF24-B9515BF89C85}" name="Detailed field of study" dataDxfId="39"/>
    <tableColumn id="2" xr3:uid="{2FDD099F-A6F6-4F1F-91E1-7CABF33B4D0E}" name="Level 2 Certificates" dataDxfId="38" dataCellStyle="Normal 3"/>
    <tableColumn id="3" xr3:uid="{4BCF4D05-9CA1-4AEB-B294-6B19C889690E}" name="Level 3 Certificates" dataDxfId="37" dataCellStyle="Normal 3"/>
    <tableColumn id="4" xr3:uid="{2984B5C1-AE5B-4192-8E8F-1B2CDB216E65}" name="Level 4 Certificates" dataDxfId="36" dataCellStyle="Normal 3"/>
    <tableColumn id="5" xr3:uid="{1F9F9FAF-080C-4E6A-A0A2-BC0495D64A97}" name="Level 5-7 Certificates and Diplomas" dataDxfId="35" dataCellStyle="Normal 3"/>
    <tableColumn id="6" xr3:uid="{6277CCBC-D8F4-423E-AC97-E774C39534D8}" name="Level 7 Bachelor's Degrees" dataDxfId="34" dataCellStyle="Normal 3"/>
    <tableColumn id="7" xr3:uid="{DE20FF40-F5AE-4A4B-AD95-6CC7CFB52942}" name="Level 7 Graduate Certificates and Diplomas" dataDxfId="33" dataCellStyle="Normal 3"/>
    <tableColumn id="8" xr3:uid="{9E994D0E-643E-4FDD-8B72-EE833F8D4379}" name="Level 8 Honours, Post-graduate Certificates, and Post-graduate Diplomas" dataDxfId="32" dataCellStyle="Normal 3"/>
    <tableColumn id="9" xr3:uid="{7B13B90D-7FF5-4D64-B255-330625E6F7D1}" name="Level 9 Master's Degrees" dataDxfId="31" dataCellStyle="Normal 3"/>
    <tableColumn id="10" xr3:uid="{39028478-46A5-4E3F-BD21-A64DE6479C9E}" name="Level 10 Doctorates" dataDxfId="30" dataCellStyle="Normal 3"/>
  </tableColumns>
  <tableStyleInfo name="TableStyleMedium2"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CD2A5DD9-353B-45A8-8E70-083287BFE458}" name="Table27" displayName="Table27" ref="A72:L92" totalsRowShown="0" headerRowDxfId="29" dataDxfId="28">
  <autoFilter ref="A72:L92" xr:uid="{DD224CBE-7D8F-4200-B0A6-E634A7719DBF}"/>
  <sortState xmlns:xlrd2="http://schemas.microsoft.com/office/spreadsheetml/2017/richdata2" ref="A73:L92">
    <sortCondition ref="A73:A92"/>
    <sortCondition ref="B73:B92"/>
  </sortState>
  <tableColumns count="12">
    <tableColumn id="1" xr3:uid="{BF4A7F03-FB94-429E-B890-7D441797F483}" name="Year" dataDxfId="27"/>
    <tableColumn id="2" xr3:uid="{519F7BDA-A9D0-4424-811E-B155775B1A2F}" name="Group" dataDxfId="26"/>
    <tableColumn id="3" xr3:uid="{CC78249E-B95E-4295-9C95-FAB801FBC455}" name="Detailed field of study" dataDxfId="25"/>
    <tableColumn id="4" xr3:uid="{7C756CC9-0C97-419A-8A78-EE637C384CA5}" name="Level 2 Certificates" dataDxfId="24">
      <calculatedColumnFormula>SUMIFS(Table26[Level 2 Certificates],Table26[Year],Table27[[#This Row],[Year]],Table26[Group],Table27[[#This Row],[Group]])</calculatedColumnFormula>
    </tableColumn>
    <tableColumn id="5" xr3:uid="{F294DFB5-40F7-4ABA-B26F-759F1CD18E55}" name="Level 3 Certificates" dataDxfId="23">
      <calculatedColumnFormula>SUMIFS(Table26[Level 3 Certificates],Table26[Year],Table27[[#This Row],[Year]],Table26[Group],Table27[[#This Row],[Group]])</calculatedColumnFormula>
    </tableColumn>
    <tableColumn id="6" xr3:uid="{EDF7155E-6CB8-479A-82E6-CA2536F563E5}" name="Level 4 Certificates" dataDxfId="22">
      <calculatedColumnFormula>SUMIFS(Table26[Level 4 Certificates],Table26[Year],Table27[[#This Row],[Year]],Table26[Group],Table27[[#This Row],[Group]])</calculatedColumnFormula>
    </tableColumn>
    <tableColumn id="7" xr3:uid="{4F5C0F65-701E-4FF3-80BB-6EB2263FD82C}" name="Level 5-7 Certificates and Diplomas" dataDxfId="21">
      <calculatedColumnFormula>SUMIFS(Table26[Level 5-7 Certificates and Diplomas],Table26[Year],Table27[[#This Row],[Year]],Table26[Group],Table27[[#This Row],[Group]])</calculatedColumnFormula>
    </tableColumn>
    <tableColumn id="8" xr3:uid="{374AB49E-74A1-44DA-B38A-A875509A42F3}" name="Level 7 Bachelor's Degrees" dataDxfId="20">
      <calculatedColumnFormula>SUMIFS(Table26[Level 7 Bachelor''s Degrees],Table26[Year],Table27[[#This Row],[Year]],Table26[Group],Table27[[#This Row],[Group]])</calculatedColumnFormula>
    </tableColumn>
    <tableColumn id="9" xr3:uid="{C0486C4B-9D3E-4DA7-8707-30B02588A9EF}" name="Level 7 Graduate Certificates and Diplomas" dataDxfId="19">
      <calculatedColumnFormula>SUMIFS(Table26[Level 7 Graduate Certificates and Diplomas],Table26[Year],Table27[[#This Row],[Year]],Table26[Group],Table27[[#This Row],[Group]])</calculatedColumnFormula>
    </tableColumn>
    <tableColumn id="10" xr3:uid="{D4029967-88B6-4F6C-9E20-D60530E48CB9}" name="Level 8 Honours, Post-graduate Certificates, and Post-graduate Diplomas" dataDxfId="18">
      <calculatedColumnFormula>SUMIFS(Table26[Level 8 Honours, Post-graduate Certificates, and Post-graduate Diplomas],Table26[Year],Table27[[#This Row],[Year]],Table26[Group],Table27[[#This Row],[Group]])</calculatedColumnFormula>
    </tableColumn>
    <tableColumn id="11" xr3:uid="{FA49BBBB-8729-4599-A014-A3710E1F9B2B}" name="Level 9 Master's Degrees" dataDxfId="17">
      <calculatedColumnFormula>SUMIFS(Table26[Level 9 Master''s Degrees],Table26[Year],Table27[[#This Row],[Year]],Table26[Group],Table27[[#This Row],[Group]])</calculatedColumnFormula>
    </tableColumn>
    <tableColumn id="12" xr3:uid="{CF65643F-BD1D-4E2D-8E00-77A56F6E8EBD}" name="Level 10 Doctorates" dataDxfId="16">
      <calculatedColumnFormula>SUMIFS(Table26[Level 10 Doctorates],Table26[Year],Table27[[#This Row],[Year]],Table26[Group],Table27[[#This Row],[Group]])</calculatedColumnFormula>
    </tableColumn>
  </tableColumns>
  <tableStyleInfo name="TableStyleMedium2"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0B49654-F123-4C09-9517-E10EE01A2BCE}" name="Table62" displayName="Table62" ref="A7:D37" totalsRowShown="0">
  <autoFilter ref="A7:D37" xr:uid="{C0B49654-F123-4C09-9517-E10EE01A2BCE}"/>
  <sortState xmlns:xlrd2="http://schemas.microsoft.com/office/spreadsheetml/2017/richdata2" ref="A8:D37">
    <sortCondition ref="A7:A37"/>
  </sortState>
  <tableColumns count="4">
    <tableColumn id="1" xr3:uid="{BF7CD0CB-AC48-4CF6-9348-7D4183B62733}" name="From"/>
    <tableColumn id="2" xr3:uid="{FAC8EE39-5621-4434-9F5B-75419A469DAD}" name="From %"/>
    <tableColumn id="3" xr3:uid="{F27A65B2-127B-465B-89E2-008D8F603174}" name="To"/>
    <tableColumn id="4" xr3:uid="{53185621-636D-47FD-A8DF-9ACA22596C0D}" name="To %"/>
  </tableColumns>
  <tableStyleInfo name="TableStyleMedium2"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652C1747-CBF1-491C-9750-43D91409DFE2}" name="Table20" displayName="Table20" ref="A6:I16" totalsRowShown="0" headerRowDxfId="15" dataDxfId="14">
  <autoFilter ref="A6:I16" xr:uid="{652C1747-CBF1-491C-9750-43D91409DFE2}"/>
  <tableColumns count="9">
    <tableColumn id="1" xr3:uid="{B1D926AA-B266-486B-8558-6031A9406615}" name="Year" dataDxfId="13"/>
    <tableColumn id="2" xr3:uid="{8BA1E5D5-3A75-4AC2-A82D-36706E1AEDA3}" name="Total ACC claims" dataDxfId="12"/>
    <tableColumn id="3" xr3:uid="{AF7B8EEF-59D7-4A90-B8A0-3C42498ACDEE}" name="Total ACC claims resulting in being fully unfit for work" dataDxfId="11"/>
    <tableColumn id="4" xr3:uid="{D6023AD3-172E-48E4-ADB4-358B7615F5D3}" name="Total claims resulting in less than a week off work" dataDxfId="10"/>
    <tableColumn id="5" xr3:uid="{2BF2BEA2-66C0-4619-A531-0BD888D6BB0A}" name="Total claims resulting in &gt; 1 week away from work" dataDxfId="9"/>
    <tableColumn id="6" xr3:uid="{74C21002-1D2A-4910-B576-6A9E7D4984EA}" name="Total ECE ACC claims" dataDxfId="8"/>
    <tableColumn id="7" xr3:uid="{A53D32EF-0898-4DDD-986B-92E620F2AA4E}" name="ECE claims categorised fully unfit for work" dataDxfId="7"/>
    <tableColumn id="8" xr3:uid="{B472CBAD-AF34-4C2F-AC8B-4C26AC74564B}" name="ECE claims resulting in less than a week off work" dataDxfId="6"/>
    <tableColumn id="9" xr3:uid="{DF4DF1F3-A8BE-4D3E-AF75-1E7DAA5CDAD3}" name="ECE claims resulting in &gt; 1 week away from work" dataDxfId="5"/>
  </tableColumns>
  <tableStyleInfo name="TableStyleMedium2"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B291CCD6-7095-4302-AC15-63ACC74DF9A4}" name="Table16" displayName="Table16" ref="A22:C72" totalsRowShown="0">
  <autoFilter ref="A22:C72" xr:uid="{B291CCD6-7095-4302-AC15-63ACC74DF9A4}"/>
  <tableColumns count="3">
    <tableColumn id="1" xr3:uid="{241D1643-2F93-4103-9615-C7867F9BE092}" name="Year"/>
    <tableColumn id="2" xr3:uid="{792F9EF8-AC0B-41CB-8F12-27F5FE9AAF06}" name="Number of claims"/>
    <tableColumn id="3" xr3:uid="{BB89B246-1D52-44E9-AB69-7C374B592142}" name="Days away from work"/>
  </tableColumns>
  <tableStyleInfo name="TableStyleMedium2"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148E836-C974-47D0-BE7F-F7812A6D5FC5}" name="Table46" displayName="Table46" ref="A4:C95" totalsRowShown="0">
  <autoFilter ref="A4:C95" xr:uid="{2148E836-C974-47D0-BE7F-F7812A6D5FC5}"/>
  <tableColumns count="3">
    <tableColumn id="1" xr3:uid="{DDC1A977-1149-48EF-8CB1-062180A9BCC8}" name="Region"/>
    <tableColumn id="2" xr3:uid="{FCC06DD0-F716-4D52-B958-8E4576425D87}" name="Service Type"/>
    <tableColumn id="3" xr3:uid="{4160FECA-0819-427B-94A5-FEA391B1B00D}" name="Licensed Places" dataDxfId="4" dataCellStyle="Comma"/>
  </tableColumns>
  <tableStyleInfo name="TableStyleMedium2"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D39DE883-C93F-461D-ACC1-B8860449A957}" name="Table5" displayName="Table5" ref="A99:C179" totalsRowShown="0">
  <autoFilter ref="A99:C179" xr:uid="{D39DE883-C93F-461D-ACC1-B8860449A957}"/>
  <tableColumns count="3">
    <tableColumn id="1" xr3:uid="{5F176BDB-FC72-49A9-A827-B8BDAE30930E}" name="Region"/>
    <tableColumn id="2" xr3:uid="{31551FC8-CB36-429E-9501-2B000AD2506B}" name="Service Type"/>
    <tableColumn id="3" xr3:uid="{58E35B60-6A3B-444A-8308-33FDE99C129E}" name="Children Participating" dataDxfId="3" dataCellStyle="Comma"/>
  </tableColumns>
  <tableStyleInfo name="TableStyleMedium2"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FDF1D9AE-30ED-463E-ACA2-A0257309E0E5}" name="Table17" displayName="Table17" ref="G5:O15" totalsRowShown="0" headerRowDxfId="2">
  <autoFilter ref="G5:O15" xr:uid="{FDF1D9AE-30ED-463E-ACA2-A0257309E0E5}"/>
  <tableColumns count="9">
    <tableColumn id="1" xr3:uid="{768C0F2A-3752-40DA-94E5-54BEA1257ADF}" name="Year"/>
    <tableColumn id="8" xr3:uid="{74241639-F4E7-4416-B905-310E760FECFD}" name="Total ACC claims"/>
    <tableColumn id="2" xr3:uid="{6F433420-2A70-44D3-8E75-D11545B6385D}" name="ACC claims resulting in being fully unfit for work"/>
    <tableColumn id="3" xr3:uid="{82AC0928-1B96-4D0D-BC8E-8F438EB9F551}" name="Total claims resulting in less than a week off work"/>
    <tableColumn id="4" xr3:uid="{03251036-E014-48E2-A7F4-2CB0CB909D1A}" name="Total claims resulting in &gt; 1 week away from work"/>
    <tableColumn id="9" xr3:uid="{4E3FE891-5188-4801-B6E7-E3BBD7928D0F}" name="Total ECE ACC claims"/>
    <tableColumn id="5" xr3:uid="{C00F7F84-46CA-4B4E-87D5-01B4CC6C840C}" name="ECE claims categorised fully unfit for work"/>
    <tableColumn id="6" xr3:uid="{9164B173-80CF-4E03-A90F-47E8BC7BCAA5}" name="ECE claims resulting in less than a week off work"/>
    <tableColumn id="7" xr3:uid="{D10FD0C0-A700-4FD7-A04D-60F02E76D88D}" name="ECE claims resulting in &gt; 1 week away from work"/>
  </tableColumns>
  <tableStyleInfo name="TableStyleMedium2"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BD652464-0F26-4A86-A5A4-EEE7D4D53A9E}" name="Table1719" displayName="Table1719" ref="G18:O28" totalsRowShown="0" headerRowDxfId="1">
  <autoFilter ref="G18:O28" xr:uid="{BD652464-0F26-4A86-A5A4-EEE7D4D53A9E}"/>
  <tableColumns count="9">
    <tableColumn id="1" xr3:uid="{1F05B98C-2DFD-4243-997A-CC7E3001E104}" name="Year"/>
    <tableColumn id="8" xr3:uid="{EAC2392B-73F3-4CC0-B858-D24AA44D2205}" name="Total ACC claims"/>
    <tableColumn id="2" xr3:uid="{69976856-E72A-4B96-9630-A3EA4C15BB20}" name="Total ACC claims resulting in being fully unfit for work">
      <calculatedColumnFormula>ROUND(I6/$H$6,3)</calculatedColumnFormula>
    </tableColumn>
    <tableColumn id="3" xr3:uid="{A60C452C-3206-422B-825C-A0B10D610EA9}" name="Total claims resulting in less than a week off work">
      <calculatedColumnFormula>ROUND(J6/$H$6,3)</calculatedColumnFormula>
    </tableColumn>
    <tableColumn id="4" xr3:uid="{D87B22F1-A8A1-46A3-9E1C-B1F30C0F2FD4}" name="Total claims resulting in &gt; 1 week away from work">
      <calculatedColumnFormula>ROUND(K6/$H$6,3)</calculatedColumnFormula>
    </tableColumn>
    <tableColumn id="9" xr3:uid="{1BCF3BDA-C8BD-4F6E-8143-7B1BE7EEDA2D}" name="Total ECE ACC claims" dataDxfId="0"/>
    <tableColumn id="5" xr3:uid="{00155CE7-BAE1-49D7-A6D2-27AFFB95C1E9}" name="ECE claims categorised fully unfit for work">
      <calculatedColumnFormula>ROUND(M6/$L$6,3)</calculatedColumnFormula>
    </tableColumn>
    <tableColumn id="6" xr3:uid="{BA45F341-2D0A-4AB5-B3F2-D8494AD36F7E}" name="ECE claims resulting in less than a week off work">
      <calculatedColumnFormula>ROUND(N6/$L$6,3)</calculatedColumnFormula>
    </tableColumn>
    <tableColumn id="7" xr3:uid="{D708FC4E-C160-4316-9F3F-67C82A670B26}" name="ECE claims resulting in &gt; 1 week away from work">
      <calculatedColumnFormula>ROUND(O6/$L$6,3)</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explore.data.stats.govt.nz/" TargetMode="External"/><Relationship Id="rId2" Type="http://schemas.openxmlformats.org/officeDocument/2006/relationships/hyperlink" Target="https://www.stats.govt.nz/tools/stats-infoshare/" TargetMode="External"/><Relationship Id="rId1" Type="http://schemas.openxmlformats.org/officeDocument/2006/relationships/hyperlink" Target="https://www.educationcounts.govt.nz/statistics?" TargetMode="External"/><Relationship Id="rId6" Type="http://schemas.openxmlformats.org/officeDocument/2006/relationships/hyperlink" Target="https://www.stats.govt.nz/integrated-data/integrated-data-infrastructure/" TargetMode="External"/><Relationship Id="rId5" Type="http://schemas.openxmlformats.org/officeDocument/2006/relationships/hyperlink" Target="https://www.workforceskills.nz/sector-insights/toitu-te-waiora/workforce-2" TargetMode="External"/><Relationship Id="rId4" Type="http://schemas.openxmlformats.org/officeDocument/2006/relationships/hyperlink" Target="https://data.worksafe.govt.nz/graph/detail/injuries_week_away?firstYear=2023&amp;secondYear=2024&amp;comparison=date"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educationcounts.govt.nz/statistics/staffing" TargetMode="External"/><Relationship Id="rId2" Type="http://schemas.openxmlformats.org/officeDocument/2006/relationships/hyperlink" Target="https://www.educationcounts.govt.nz/statistics?" TargetMode="External"/><Relationship Id="rId1" Type="http://schemas.openxmlformats.org/officeDocument/2006/relationships/hyperlink" Target="https://www.education.govt.nz/parents-and-caregivers/early-learning/starting-early-learning/types-early-learning" TargetMode="External"/><Relationship Id="rId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8" Type="http://schemas.openxmlformats.org/officeDocument/2006/relationships/table" Target="../tables/table10.xml"/><Relationship Id="rId13" Type="http://schemas.openxmlformats.org/officeDocument/2006/relationships/table" Target="../tables/table15.xml"/><Relationship Id="rId18" Type="http://schemas.openxmlformats.org/officeDocument/2006/relationships/table" Target="../tables/table20.xml"/><Relationship Id="rId3" Type="http://schemas.openxmlformats.org/officeDocument/2006/relationships/table" Target="../tables/table5.xml"/><Relationship Id="rId7" Type="http://schemas.openxmlformats.org/officeDocument/2006/relationships/table" Target="../tables/table9.xml"/><Relationship Id="rId12" Type="http://schemas.openxmlformats.org/officeDocument/2006/relationships/table" Target="../tables/table14.xml"/><Relationship Id="rId17" Type="http://schemas.openxmlformats.org/officeDocument/2006/relationships/table" Target="../tables/table19.xml"/><Relationship Id="rId2" Type="http://schemas.openxmlformats.org/officeDocument/2006/relationships/table" Target="../tables/table4.xml"/><Relationship Id="rId16" Type="http://schemas.openxmlformats.org/officeDocument/2006/relationships/table" Target="../tables/table18.xml"/><Relationship Id="rId1" Type="http://schemas.openxmlformats.org/officeDocument/2006/relationships/table" Target="../tables/table3.xml"/><Relationship Id="rId6" Type="http://schemas.openxmlformats.org/officeDocument/2006/relationships/table" Target="../tables/table8.xml"/><Relationship Id="rId11" Type="http://schemas.openxmlformats.org/officeDocument/2006/relationships/table" Target="../tables/table13.xml"/><Relationship Id="rId5" Type="http://schemas.openxmlformats.org/officeDocument/2006/relationships/table" Target="../tables/table7.xml"/><Relationship Id="rId15" Type="http://schemas.openxmlformats.org/officeDocument/2006/relationships/table" Target="../tables/table17.xml"/><Relationship Id="rId10" Type="http://schemas.openxmlformats.org/officeDocument/2006/relationships/table" Target="../tables/table12.xml"/><Relationship Id="rId4" Type="http://schemas.openxmlformats.org/officeDocument/2006/relationships/table" Target="../tables/table6.xml"/><Relationship Id="rId9" Type="http://schemas.openxmlformats.org/officeDocument/2006/relationships/table" Target="../tables/table11.xml"/><Relationship Id="rId14" Type="http://schemas.openxmlformats.org/officeDocument/2006/relationships/table" Target="../tables/table1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9.xml.rels><?xml version="1.0" encoding="UTF-8" standalone="yes"?>
<Relationships xmlns="http://schemas.openxmlformats.org/package/2006/relationships"><Relationship Id="rId3" Type="http://schemas.openxmlformats.org/officeDocument/2006/relationships/table" Target="../tables/table22.x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table" Target="../tables/table24.xml"/><Relationship Id="rId4" Type="http://schemas.openxmlformats.org/officeDocument/2006/relationships/table" Target="../tables/table23.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27.xml"/></Relationships>
</file>

<file path=xl/worksheets/_rels/sheet13.xml.rels><?xml version="1.0" encoding="UTF-8" standalone="yes"?>
<Relationships xmlns="http://schemas.openxmlformats.org/package/2006/relationships"><Relationship Id="rId3" Type="http://schemas.openxmlformats.org/officeDocument/2006/relationships/table" Target="../tables/table30.xml"/><Relationship Id="rId2" Type="http://schemas.openxmlformats.org/officeDocument/2006/relationships/table" Target="../tables/table29.xml"/><Relationship Id="rId1" Type="http://schemas.openxmlformats.org/officeDocument/2006/relationships/table" Target="../tables/table28.xml"/><Relationship Id="rId4" Type="http://schemas.openxmlformats.org/officeDocument/2006/relationships/table" Target="../tables/table31.xml"/></Relationships>
</file>

<file path=xl/worksheets/_rels/sheet14.xml.rels><?xml version="1.0" encoding="UTF-8" standalone="yes"?>
<Relationships xmlns="http://schemas.openxmlformats.org/package/2006/relationships"><Relationship Id="rId2" Type="http://schemas.openxmlformats.org/officeDocument/2006/relationships/table" Target="../tables/table32.xml"/><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34.xml"/><Relationship Id="rId2" Type="http://schemas.openxmlformats.org/officeDocument/2006/relationships/table" Target="../tables/table33.xml"/><Relationship Id="rId1" Type="http://schemas.openxmlformats.org/officeDocument/2006/relationships/printerSettings" Target="../printerSettings/printerSettings4.bin"/><Relationship Id="rId4" Type="http://schemas.openxmlformats.org/officeDocument/2006/relationships/table" Target="../tables/table35.xml"/></Relationships>
</file>

<file path=xl/worksheets/_rels/sheet16.xml.rels><?xml version="1.0" encoding="UTF-8" standalone="yes"?>
<Relationships xmlns="http://schemas.openxmlformats.org/package/2006/relationships"><Relationship Id="rId3" Type="http://schemas.openxmlformats.org/officeDocument/2006/relationships/table" Target="../tables/table37.xml"/><Relationship Id="rId2" Type="http://schemas.openxmlformats.org/officeDocument/2006/relationships/table" Target="../tables/table36.xml"/><Relationship Id="rId1" Type="http://schemas.openxmlformats.org/officeDocument/2006/relationships/printerSettings" Target="../printerSettings/printerSettings5.bin"/></Relationships>
</file>

<file path=xl/worksheets/_rels/sheet17.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18.xml.rels><?xml version="1.0" encoding="UTF-8" standalone="yes"?>
<Relationships xmlns="http://schemas.openxmlformats.org/package/2006/relationships"><Relationship Id="rId2" Type="http://schemas.openxmlformats.org/officeDocument/2006/relationships/table" Target="../tables/table40.xml"/><Relationship Id="rId1" Type="http://schemas.openxmlformats.org/officeDocument/2006/relationships/table" Target="../tables/table39.xml"/></Relationships>
</file>

<file path=xl/worksheets/_rels/sheet19.xml.rels><?xml version="1.0" encoding="UTF-8" standalone="yes"?>
<Relationships xmlns="http://schemas.openxmlformats.org/package/2006/relationships"><Relationship Id="rId2" Type="http://schemas.openxmlformats.org/officeDocument/2006/relationships/table" Target="../tables/table42.xml"/><Relationship Id="rId1" Type="http://schemas.openxmlformats.org/officeDocument/2006/relationships/table" Target="../tables/table41.xml"/></Relationships>
</file>

<file path=xl/worksheets/_rels/sheet21.xml.rels><?xml version="1.0" encoding="UTF-8" standalone="yes"?>
<Relationships xmlns="http://schemas.openxmlformats.org/package/2006/relationships"><Relationship Id="rId2" Type="http://schemas.openxmlformats.org/officeDocument/2006/relationships/table" Target="../tables/table44.xml"/><Relationship Id="rId1" Type="http://schemas.openxmlformats.org/officeDocument/2006/relationships/table" Target="../tables/table43.xml"/></Relationships>
</file>

<file path=xl/worksheets/_rels/sheet22.xml.rels><?xml version="1.0" encoding="UTF-8" standalone="yes"?>
<Relationships xmlns="http://schemas.openxmlformats.org/package/2006/relationships"><Relationship Id="rId2" Type="http://schemas.openxmlformats.org/officeDocument/2006/relationships/hyperlink" Target="https://www.educationcounts.govt.nz/statistics/tertiary-participation" TargetMode="External"/><Relationship Id="rId1" Type="http://schemas.openxmlformats.org/officeDocument/2006/relationships/hyperlink" Target="https://www.educationcounts.govt.nz/statistics/tertiary-participa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7E1A-FD4B-48FC-9A77-8F9DE978424F}">
  <dimension ref="A1:B26"/>
  <sheetViews>
    <sheetView tabSelected="1" zoomScale="80" zoomScaleNormal="80" workbookViewId="0">
      <selection activeCell="C9" sqref="C9"/>
    </sheetView>
  </sheetViews>
  <sheetFormatPr defaultRowHeight="14.65"/>
  <cols>
    <col min="1" max="1" width="12.7109375" customWidth="1"/>
    <col min="2" max="2" width="80.140625" customWidth="1"/>
  </cols>
  <sheetData>
    <row r="1" spans="1:2" s="126" customFormat="1" ht="35.65" customHeight="1">
      <c r="A1" s="126" t="s">
        <v>0</v>
      </c>
    </row>
    <row r="3" spans="1:2">
      <c r="A3" s="13" t="s">
        <v>1</v>
      </c>
      <c r="B3" t="s">
        <v>2</v>
      </c>
    </row>
    <row r="4" spans="1:2">
      <c r="A4" s="13" t="s">
        <v>3</v>
      </c>
      <c r="B4" t="s">
        <v>4</v>
      </c>
    </row>
    <row r="5" spans="1:2">
      <c r="A5" s="13" t="s">
        <v>5</v>
      </c>
      <c r="B5" t="s">
        <v>6</v>
      </c>
    </row>
    <row r="7" spans="1:2">
      <c r="A7" s="13" t="s">
        <v>7</v>
      </c>
    </row>
    <row r="8" spans="1:2">
      <c r="A8" s="40" t="s">
        <v>8</v>
      </c>
    </row>
    <row r="9" spans="1:2">
      <c r="A9" s="41" t="s">
        <v>9</v>
      </c>
    </row>
    <row r="10" spans="1:2">
      <c r="A10" s="19" t="s">
        <v>10</v>
      </c>
    </row>
    <row r="11" spans="1:2">
      <c r="A11" s="19" t="s">
        <v>11</v>
      </c>
    </row>
    <row r="12" spans="1:2">
      <c r="A12" s="19" t="s">
        <v>12</v>
      </c>
    </row>
    <row r="13" spans="1:2">
      <c r="A13" s="19" t="s">
        <v>13</v>
      </c>
    </row>
    <row r="14" spans="1:2">
      <c r="A14" s="19" t="s">
        <v>14</v>
      </c>
    </row>
    <row r="16" spans="1:2">
      <c r="A16" s="41" t="s">
        <v>15</v>
      </c>
    </row>
    <row r="17" spans="1:2">
      <c r="A17" s="19" t="s">
        <v>16</v>
      </c>
    </row>
    <row r="20" spans="1:2">
      <c r="A20" s="40" t="s">
        <v>17</v>
      </c>
    </row>
    <row r="21" spans="1:2">
      <c r="A21" t="s">
        <v>18</v>
      </c>
    </row>
    <row r="22" spans="1:2">
      <c r="A22" t="s">
        <v>19</v>
      </c>
    </row>
    <row r="24" spans="1:2">
      <c r="A24" s="40"/>
    </row>
    <row r="25" spans="1:2">
      <c r="A25" s="40" t="s">
        <v>20</v>
      </c>
    </row>
    <row r="26" spans="1:2" ht="60" customHeight="1">
      <c r="A26" s="128" t="s">
        <v>21</v>
      </c>
      <c r="B26" s="128"/>
    </row>
  </sheetData>
  <mergeCells count="1">
    <mergeCell ref="A26:B26"/>
  </mergeCells>
  <hyperlinks>
    <hyperlink ref="A10" r:id="rId1" display="https://www.educationcounts.govt.nz/statistics?" xr:uid="{180F1D6F-ECB8-4C90-ADF1-760D3EC1F83D}"/>
    <hyperlink ref="A11" r:id="rId2" display="https://www.stats.govt.nz/tools/stats-infoshare/" xr:uid="{129743C9-D592-4968-A93A-EBF55C9E6EF7}"/>
    <hyperlink ref="A12" r:id="rId3" xr:uid="{FA8566E1-EAC2-4D07-A430-FEC4C1AEE410}"/>
    <hyperlink ref="A13" r:id="rId4" display="https://data.worksafe.govt.nz/graph/detail/injuries_week_away?firstYear=2023&amp;secondYear=2024&amp;comparison=date" xr:uid="{8C27F00F-123B-4D21-A982-366870C4D9E8}"/>
    <hyperlink ref="A14" r:id="rId5" xr:uid="{520C81DE-DBCB-4041-B49F-EDE45E41AAF8}"/>
    <hyperlink ref="A17" r:id="rId6" display="https://www.stats.govt.nz/integrated-data/integrated-data-infrastructure/" xr:uid="{15232C9C-A0C6-46F5-A5D0-B4B5573A063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35581-D31B-43AB-B2F4-F066CC413E27}">
  <dimension ref="A1:D31"/>
  <sheetViews>
    <sheetView zoomScale="80" zoomScaleNormal="80" workbookViewId="0">
      <selection activeCell="A28" sqref="A28:XFD37"/>
    </sheetView>
  </sheetViews>
  <sheetFormatPr defaultColWidth="8.85546875" defaultRowHeight="50.1" customHeight="1"/>
  <cols>
    <col min="1" max="1" width="9.7109375" style="75" customWidth="1"/>
    <col min="2" max="2" width="35.28515625" style="75" customWidth="1"/>
    <col min="3" max="3" width="70.5703125" style="75" customWidth="1"/>
    <col min="4" max="4" width="69.42578125" style="75" customWidth="1"/>
    <col min="5" max="16384" width="8.85546875" style="75"/>
  </cols>
  <sheetData>
    <row r="1" spans="1:4" s="127" customFormat="1" ht="39.6" customHeight="1">
      <c r="A1" s="129" t="s">
        <v>22</v>
      </c>
      <c r="B1" s="130"/>
    </row>
    <row r="2" spans="1:4" ht="28.7" customHeight="1">
      <c r="A2" s="75" t="s">
        <v>23</v>
      </c>
      <c r="B2" s="75" t="s">
        <v>24</v>
      </c>
      <c r="C2" s="75" t="s">
        <v>25</v>
      </c>
      <c r="D2" s="75" t="s">
        <v>26</v>
      </c>
    </row>
    <row r="3" spans="1:4" ht="50.1" customHeight="1">
      <c r="A3" s="76" t="s">
        <v>27</v>
      </c>
      <c r="B3" s="75" t="s">
        <v>28</v>
      </c>
      <c r="C3" s="75" t="s">
        <v>29</v>
      </c>
      <c r="D3" s="77" t="s">
        <v>30</v>
      </c>
    </row>
    <row r="4" spans="1:4" ht="50.1" customHeight="1">
      <c r="A4" s="75" t="s">
        <v>31</v>
      </c>
      <c r="B4" s="75" t="s">
        <v>32</v>
      </c>
      <c r="C4" s="75" t="s">
        <v>33</v>
      </c>
      <c r="D4" s="75" t="s">
        <v>34</v>
      </c>
    </row>
    <row r="5" spans="1:4" ht="54.4" customHeight="1">
      <c r="A5" s="76" t="s">
        <v>35</v>
      </c>
      <c r="B5" s="75" t="s">
        <v>36</v>
      </c>
      <c r="C5" s="75" t="s">
        <v>37</v>
      </c>
      <c r="D5" s="75" t="s">
        <v>34</v>
      </c>
    </row>
    <row r="6" spans="1:4" ht="54.4" customHeight="1">
      <c r="A6" s="76" t="s">
        <v>38</v>
      </c>
      <c r="B6" s="75" t="s">
        <v>39</v>
      </c>
      <c r="C6" s="75" t="s">
        <v>40</v>
      </c>
      <c r="D6" s="75" t="s">
        <v>34</v>
      </c>
    </row>
    <row r="7" spans="1:4" ht="54.4" customHeight="1">
      <c r="A7" s="76" t="s">
        <v>41</v>
      </c>
      <c r="B7" s="75" t="s">
        <v>42</v>
      </c>
      <c r="C7" s="75" t="s">
        <v>43</v>
      </c>
      <c r="D7" s="75" t="s">
        <v>44</v>
      </c>
    </row>
    <row r="8" spans="1:4" ht="54.4" customHeight="1">
      <c r="A8" s="76" t="s">
        <v>45</v>
      </c>
      <c r="B8" s="75" t="s">
        <v>46</v>
      </c>
      <c r="C8" s="75" t="s">
        <v>47</v>
      </c>
      <c r="D8" s="75" t="s">
        <v>48</v>
      </c>
    </row>
    <row r="9" spans="1:4" ht="54.4" customHeight="1">
      <c r="A9" s="76" t="s">
        <v>49</v>
      </c>
      <c r="B9" s="75" t="s">
        <v>50</v>
      </c>
      <c r="C9" s="75" t="s">
        <v>51</v>
      </c>
      <c r="D9" s="75" t="s">
        <v>52</v>
      </c>
    </row>
    <row r="10" spans="1:4" ht="54.4" customHeight="1">
      <c r="A10" s="76" t="s">
        <v>53</v>
      </c>
      <c r="B10" s="75" t="s">
        <v>54</v>
      </c>
      <c r="C10" s="75" t="s">
        <v>55</v>
      </c>
      <c r="D10" s="75" t="s">
        <v>56</v>
      </c>
    </row>
    <row r="11" spans="1:4" ht="54.4" customHeight="1">
      <c r="A11" s="76" t="s">
        <v>57</v>
      </c>
      <c r="B11" s="75" t="s">
        <v>58</v>
      </c>
      <c r="C11" s="75" t="s">
        <v>55</v>
      </c>
      <c r="D11" s="75" t="s">
        <v>56</v>
      </c>
    </row>
    <row r="12" spans="1:4" ht="54.4" customHeight="1">
      <c r="A12" s="76" t="s">
        <v>59</v>
      </c>
      <c r="B12" s="75" t="s">
        <v>60</v>
      </c>
      <c r="C12" s="75" t="s">
        <v>61</v>
      </c>
      <c r="D12" s="75" t="s">
        <v>62</v>
      </c>
    </row>
    <row r="13" spans="1:4" ht="54.4" customHeight="1">
      <c r="A13" s="76" t="s">
        <v>63</v>
      </c>
      <c r="B13" s="75" t="s">
        <v>64</v>
      </c>
      <c r="C13" s="75" t="s">
        <v>65</v>
      </c>
      <c r="D13" s="75" t="s">
        <v>66</v>
      </c>
    </row>
    <row r="14" spans="1:4" ht="54.4" customHeight="1">
      <c r="A14" s="76" t="s">
        <v>67</v>
      </c>
      <c r="B14" s="75" t="s">
        <v>68</v>
      </c>
      <c r="C14" s="75" t="s">
        <v>69</v>
      </c>
      <c r="D14" s="75" t="s">
        <v>70</v>
      </c>
    </row>
    <row r="15" spans="1:4" ht="54.4" customHeight="1">
      <c r="A15" s="76" t="s">
        <v>71</v>
      </c>
      <c r="B15" s="75" t="s">
        <v>72</v>
      </c>
      <c r="C15" s="75" t="s">
        <v>73</v>
      </c>
      <c r="D15" s="75" t="s">
        <v>74</v>
      </c>
    </row>
    <row r="16" spans="1:4" ht="50.1" customHeight="1">
      <c r="A16" s="76" t="s">
        <v>75</v>
      </c>
      <c r="B16" s="75" t="s">
        <v>76</v>
      </c>
      <c r="C16" s="75" t="s">
        <v>77</v>
      </c>
      <c r="D16" s="75" t="s">
        <v>78</v>
      </c>
    </row>
    <row r="17" spans="1:4" ht="50.1" customHeight="1">
      <c r="A17" s="76" t="s">
        <v>79</v>
      </c>
      <c r="B17" s="75" t="s">
        <v>80</v>
      </c>
      <c r="C17" s="75" t="s">
        <v>81</v>
      </c>
      <c r="D17" s="75" t="s">
        <v>82</v>
      </c>
    </row>
    <row r="18" spans="1:4" ht="50.1" customHeight="1">
      <c r="A18" s="76" t="s">
        <v>83</v>
      </c>
      <c r="B18" s="75" t="s">
        <v>84</v>
      </c>
      <c r="C18" s="75" t="s">
        <v>85</v>
      </c>
      <c r="D18" s="75" t="s">
        <v>34</v>
      </c>
    </row>
    <row r="19" spans="1:4" ht="50.1" customHeight="1">
      <c r="A19" s="76"/>
    </row>
    <row r="20" spans="1:4" ht="50.1" customHeight="1">
      <c r="A20" s="76"/>
      <c r="D20" s="77"/>
    </row>
    <row r="21" spans="1:4" ht="50.1" customHeight="1">
      <c r="A21" s="76"/>
    </row>
    <row r="22" spans="1:4" ht="50.1" customHeight="1">
      <c r="A22" s="76"/>
    </row>
    <row r="23" spans="1:4" ht="50.1" customHeight="1">
      <c r="A23" s="76"/>
    </row>
    <row r="24" spans="1:4" ht="50.1" customHeight="1">
      <c r="A24" s="76"/>
    </row>
    <row r="25" spans="1:4" ht="50.1" customHeight="1">
      <c r="A25" s="76"/>
    </row>
    <row r="26" spans="1:4" ht="50.1" customHeight="1">
      <c r="A26" s="76"/>
    </row>
    <row r="27" spans="1:4" ht="50.1" customHeight="1">
      <c r="A27" s="76"/>
    </row>
    <row r="28" spans="1:4" ht="50.1" customHeight="1">
      <c r="A28" s="78"/>
      <c r="B28" s="79"/>
    </row>
    <row r="29" spans="1:4" s="79" customFormat="1" ht="50.1" customHeight="1">
      <c r="A29" s="76"/>
      <c r="B29" s="75"/>
      <c r="C29" s="75"/>
      <c r="D29" s="75"/>
    </row>
    <row r="30" spans="1:4" ht="50.1" customHeight="1">
      <c r="A30" s="76"/>
    </row>
    <row r="31" spans="1:4" ht="50.1" customHeight="1">
      <c r="D31" s="77"/>
    </row>
  </sheetData>
  <mergeCells count="1">
    <mergeCell ref="A1:B1"/>
  </mergeCells>
  <pageMargins left="0.25" right="0.25" top="0.75" bottom="0.75" header="0.3" footer="0.3"/>
  <pageSetup paperSize="9" scale="77" orientation="landscape"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5D6CF-FD77-4544-9716-390C632EFC71}">
  <dimension ref="A1:D10"/>
  <sheetViews>
    <sheetView zoomScale="80" zoomScaleNormal="80" workbookViewId="0">
      <selection sqref="A1:B1"/>
    </sheetView>
  </sheetViews>
  <sheetFormatPr defaultColWidth="8.85546875" defaultRowHeight="14.65"/>
  <cols>
    <col min="1" max="1" width="12.28515625" style="1" customWidth="1"/>
    <col min="2" max="3" width="76.85546875" style="1" customWidth="1"/>
    <col min="4" max="4" width="28.28515625" style="2" customWidth="1"/>
    <col min="5" max="16384" width="8.85546875" style="2"/>
  </cols>
  <sheetData>
    <row r="1" spans="1:4" s="119" customFormat="1" ht="22.7" customHeight="1">
      <c r="A1" s="131" t="s">
        <v>86</v>
      </c>
      <c r="B1" s="131"/>
      <c r="C1" s="118"/>
    </row>
    <row r="3" spans="1:4">
      <c r="A3" s="1" t="s">
        <v>87</v>
      </c>
      <c r="B3" s="1" t="s">
        <v>88</v>
      </c>
      <c r="C3" s="1" t="s">
        <v>89</v>
      </c>
      <c r="D3" s="1" t="s">
        <v>90</v>
      </c>
    </row>
    <row r="4" spans="1:4" ht="29.1">
      <c r="A4" s="1" t="s">
        <v>91</v>
      </c>
      <c r="B4" s="1" t="s">
        <v>92</v>
      </c>
      <c r="D4" s="1"/>
    </row>
    <row r="5" spans="1:4" ht="43.7">
      <c r="A5" s="1" t="s">
        <v>93</v>
      </c>
      <c r="B5" s="1" t="s">
        <v>94</v>
      </c>
      <c r="D5" s="3" t="s">
        <v>95</v>
      </c>
    </row>
    <row r="6" spans="1:4" ht="29.1">
      <c r="A6" s="1" t="s">
        <v>96</v>
      </c>
      <c r="B6" s="1" t="s">
        <v>97</v>
      </c>
      <c r="C6" s="1" t="s">
        <v>98</v>
      </c>
      <c r="D6" s="3" t="s">
        <v>99</v>
      </c>
    </row>
    <row r="7" spans="1:4" ht="29.1">
      <c r="A7" s="1" t="s">
        <v>100</v>
      </c>
      <c r="B7" s="1" t="s">
        <v>101</v>
      </c>
      <c r="D7" s="3" t="s">
        <v>99</v>
      </c>
    </row>
    <row r="8" spans="1:4">
      <c r="A8" s="1" t="s">
        <v>102</v>
      </c>
      <c r="B8" s="1" t="s">
        <v>103</v>
      </c>
      <c r="D8" s="1"/>
    </row>
    <row r="9" spans="1:4" ht="29.1">
      <c r="A9" s="1" t="s">
        <v>104</v>
      </c>
      <c r="B9" s="1" t="s">
        <v>105</v>
      </c>
      <c r="D9" s="1"/>
    </row>
    <row r="10" spans="1:4" ht="29.1">
      <c r="A10" s="1" t="s">
        <v>106</v>
      </c>
      <c r="B10" s="1" t="s">
        <v>107</v>
      </c>
      <c r="D10" s="1"/>
    </row>
  </sheetData>
  <mergeCells count="1">
    <mergeCell ref="A1:B1"/>
  </mergeCells>
  <hyperlinks>
    <hyperlink ref="D5" r:id="rId1" xr:uid="{403033E9-CE9D-4023-994C-8DF9900E1F27}"/>
    <hyperlink ref="D6" r:id="rId2" xr:uid="{E43DD435-3A53-4A65-B7CE-610A97CA75CC}"/>
    <hyperlink ref="D7" r:id="rId3" xr:uid="{D34CBD80-52D2-4090-9750-1B3A7FB9400F}"/>
  </hyperlinks>
  <pageMargins left="0.7" right="0.7" top="0.75" bottom="0.75" header="0.3" footer="0.3"/>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4D56B-EEC4-4CD0-9085-92CEF822850C}">
  <dimension ref="A1:H32"/>
  <sheetViews>
    <sheetView zoomScale="70" zoomScaleNormal="70" workbookViewId="0">
      <selection activeCell="C2" sqref="C2"/>
    </sheetView>
  </sheetViews>
  <sheetFormatPr defaultColWidth="8.85546875" defaultRowHeight="14.65"/>
  <cols>
    <col min="1" max="1" width="7.28515625" customWidth="1"/>
    <col min="2" max="2" width="78.42578125" customWidth="1"/>
    <col min="3" max="3" width="59.42578125" bestFit="1" customWidth="1"/>
  </cols>
  <sheetData>
    <row r="1" spans="1:8" s="98" customFormat="1" ht="20.65">
      <c r="A1" s="98" t="s">
        <v>108</v>
      </c>
    </row>
    <row r="2" spans="1:8" s="116" customFormat="1" ht="20.65"/>
    <row r="3" spans="1:8">
      <c r="A3" s="13" t="s">
        <v>109</v>
      </c>
    </row>
    <row r="4" spans="1:8">
      <c r="A4" s="40" t="s">
        <v>110</v>
      </c>
    </row>
    <row r="5" spans="1:8" ht="370.35" customHeight="1"/>
    <row r="6" spans="1:8">
      <c r="A6" s="13"/>
    </row>
    <row r="7" spans="1:8">
      <c r="A7" s="40" t="s">
        <v>111</v>
      </c>
    </row>
    <row r="8" spans="1:8">
      <c r="A8" s="40" t="s">
        <v>112</v>
      </c>
    </row>
    <row r="9" spans="1:8" ht="349.35" customHeight="1">
      <c r="A9" s="128" t="s">
        <v>113</v>
      </c>
      <c r="B9" s="128"/>
      <c r="C9" s="128"/>
      <c r="D9" s="6"/>
      <c r="E9" s="6"/>
      <c r="F9" s="6"/>
      <c r="G9" s="6"/>
      <c r="H9" s="6"/>
    </row>
    <row r="11" spans="1:8">
      <c r="A11" s="40" t="s">
        <v>114</v>
      </c>
    </row>
    <row r="12" spans="1:8">
      <c r="A12" s="41" t="s">
        <v>115</v>
      </c>
      <c r="B12" s="41" t="s">
        <v>25</v>
      </c>
      <c r="C12" s="41" t="s">
        <v>116</v>
      </c>
    </row>
    <row r="13" spans="1:8" ht="16.350000000000001">
      <c r="A13" s="96" t="s">
        <v>117</v>
      </c>
      <c r="B13" t="s">
        <v>118</v>
      </c>
    </row>
    <row r="14" spans="1:8" ht="16.350000000000001">
      <c r="A14" s="96" t="s">
        <v>119</v>
      </c>
      <c r="B14" t="s">
        <v>120</v>
      </c>
    </row>
    <row r="15" spans="1:8">
      <c r="A15" s="96" t="s">
        <v>121</v>
      </c>
      <c r="B15" t="s">
        <v>122</v>
      </c>
      <c r="C15" t="s">
        <v>123</v>
      </c>
    </row>
    <row r="16" spans="1:8">
      <c r="A16" s="96" t="s">
        <v>124</v>
      </c>
      <c r="B16" t="s">
        <v>125</v>
      </c>
      <c r="C16" t="s">
        <v>126</v>
      </c>
    </row>
    <row r="17" spans="1:3">
      <c r="A17" s="96" t="s">
        <v>127</v>
      </c>
      <c r="B17" t="s">
        <v>128</v>
      </c>
      <c r="C17" t="s">
        <v>129</v>
      </c>
    </row>
    <row r="18" spans="1:3">
      <c r="A18" s="96" t="s">
        <v>130</v>
      </c>
      <c r="B18" t="s">
        <v>131</v>
      </c>
    </row>
    <row r="19" spans="1:3">
      <c r="A19" s="96" t="s">
        <v>132</v>
      </c>
      <c r="B19" t="s">
        <v>133</v>
      </c>
      <c r="C19" t="s">
        <v>134</v>
      </c>
    </row>
    <row r="20" spans="1:3">
      <c r="A20" s="96" t="s">
        <v>135</v>
      </c>
      <c r="B20" t="s">
        <v>136</v>
      </c>
    </row>
    <row r="21" spans="1:3">
      <c r="A21" s="41"/>
    </row>
    <row r="22" spans="1:3">
      <c r="B22" s="13" t="s">
        <v>137</v>
      </c>
    </row>
    <row r="24" spans="1:3" ht="16.350000000000001">
      <c r="A24" s="41" t="s">
        <v>138</v>
      </c>
      <c r="B24" s="97" t="s">
        <v>139</v>
      </c>
      <c r="C24" t="s">
        <v>140</v>
      </c>
    </row>
    <row r="25" spans="1:3">
      <c r="A25" s="41" t="s">
        <v>141</v>
      </c>
      <c r="B25" s="97" t="s">
        <v>142</v>
      </c>
      <c r="C25" t="s">
        <v>143</v>
      </c>
    </row>
    <row r="26" spans="1:3">
      <c r="A26" s="41"/>
      <c r="B26" s="83" t="s">
        <v>144</v>
      </c>
    </row>
    <row r="27" spans="1:3">
      <c r="A27" s="41" t="s">
        <v>145</v>
      </c>
      <c r="B27" s="97" t="s">
        <v>146</v>
      </c>
      <c r="C27" t="s">
        <v>147</v>
      </c>
    </row>
    <row r="28" spans="1:3">
      <c r="A28" s="41" t="s">
        <v>148</v>
      </c>
      <c r="B28" s="97" t="s">
        <v>149</v>
      </c>
      <c r="C28" s="41" t="s">
        <v>150</v>
      </c>
    </row>
    <row r="29" spans="1:3">
      <c r="A29" s="41" t="s">
        <v>151</v>
      </c>
      <c r="B29" s="97" t="s">
        <v>152</v>
      </c>
      <c r="C29" s="41" t="s">
        <v>153</v>
      </c>
    </row>
    <row r="31" spans="1:3">
      <c r="A31" s="40" t="s">
        <v>154</v>
      </c>
    </row>
    <row r="32" spans="1:3" ht="74.45" customHeight="1">
      <c r="A32" s="128" t="s">
        <v>155</v>
      </c>
      <c r="B32" s="128"/>
      <c r="C32" s="128"/>
    </row>
  </sheetData>
  <mergeCells count="2">
    <mergeCell ref="A9:C9"/>
    <mergeCell ref="A32:C3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92799-3250-4C1B-9BF1-50410EA2CCFD}">
  <dimension ref="A1:V138"/>
  <sheetViews>
    <sheetView zoomScale="60" zoomScaleNormal="60" workbookViewId="0">
      <selection activeCell="K68" sqref="K68"/>
    </sheetView>
  </sheetViews>
  <sheetFormatPr defaultColWidth="8.85546875" defaultRowHeight="14.65" outlineLevelRow="1"/>
  <cols>
    <col min="2" max="2" width="17.85546875" style="80" customWidth="1"/>
    <col min="3" max="4" width="15.42578125" style="80" customWidth="1"/>
    <col min="5" max="5" width="1.7109375" customWidth="1"/>
    <col min="6" max="6" width="15.42578125" customWidth="1"/>
    <col min="7" max="7" width="17" customWidth="1"/>
    <col min="8" max="11" width="15.42578125" customWidth="1"/>
    <col min="12" max="12" width="17" customWidth="1"/>
    <col min="13" max="13" width="15.42578125" customWidth="1"/>
    <col min="14" max="14" width="1.7109375" customWidth="1"/>
    <col min="15" max="15" width="15.42578125" customWidth="1"/>
    <col min="16" max="16" width="17.85546875" customWidth="1"/>
    <col min="17" max="18" width="15.42578125" customWidth="1"/>
    <col min="19" max="20" width="2.28515625" customWidth="1"/>
    <col min="21" max="22" width="15.42578125" customWidth="1"/>
  </cols>
  <sheetData>
    <row r="1" spans="1:4" s="98" customFormat="1" ht="20.65">
      <c r="A1" s="98" t="s">
        <v>32</v>
      </c>
      <c r="B1" s="99"/>
      <c r="C1" s="99"/>
      <c r="D1" s="99"/>
    </row>
    <row r="2" spans="1:4" s="120" customFormat="1" ht="26.1">
      <c r="A2" s="120" t="s">
        <v>156</v>
      </c>
      <c r="B2" s="121"/>
      <c r="C2" s="121"/>
      <c r="D2" s="121"/>
    </row>
    <row r="3" spans="1:4">
      <c r="A3" s="40" t="s">
        <v>157</v>
      </c>
    </row>
    <row r="4" spans="1:4">
      <c r="A4" s="40" t="s">
        <v>158</v>
      </c>
    </row>
    <row r="5" spans="1:4" hidden="1" outlineLevel="1">
      <c r="A5" s="13" t="s">
        <v>159</v>
      </c>
      <c r="B5" s="81" t="s">
        <v>160</v>
      </c>
      <c r="C5" s="81" t="s">
        <v>161</v>
      </c>
      <c r="D5" s="81" t="s">
        <v>162</v>
      </c>
    </row>
    <row r="6" spans="1:4" hidden="1" outlineLevel="1">
      <c r="A6" s="13" t="s">
        <v>163</v>
      </c>
      <c r="B6" s="80">
        <v>0.46263809777419834</v>
      </c>
      <c r="C6" s="80">
        <v>0.2979144881695428</v>
      </c>
      <c r="D6" s="80">
        <v>7.234017679113057E-2</v>
      </c>
    </row>
    <row r="7" spans="1:4" hidden="1" outlineLevel="1">
      <c r="A7" s="13" t="s">
        <v>164</v>
      </c>
      <c r="B7" s="80">
        <v>0.4799349525258354</v>
      </c>
      <c r="C7" s="80">
        <v>0.29795284058123067</v>
      </c>
      <c r="D7" s="80">
        <v>6.290982531605728E-2</v>
      </c>
    </row>
    <row r="8" spans="1:4" hidden="1" outlineLevel="1">
      <c r="A8" s="13" t="s">
        <v>165</v>
      </c>
      <c r="B8" s="80">
        <v>0.48817123064019413</v>
      </c>
      <c r="C8" s="80">
        <v>0.28919820471614155</v>
      </c>
      <c r="D8" s="80">
        <v>6.6516419420310266E-2</v>
      </c>
    </row>
    <row r="9" spans="1:4" hidden="1" outlineLevel="1">
      <c r="A9" s="13" t="s">
        <v>166</v>
      </c>
      <c r="B9" s="80">
        <v>0.49301068219987138</v>
      </c>
      <c r="C9" s="80">
        <v>0.28162674108620056</v>
      </c>
      <c r="D9" s="80">
        <v>6.4424091451118479E-2</v>
      </c>
    </row>
    <row r="10" spans="1:4" hidden="1" outlineLevel="1">
      <c r="A10" s="13" t="s">
        <v>167</v>
      </c>
      <c r="B10" s="80">
        <v>0.49726216390225958</v>
      </c>
      <c r="C10" s="80">
        <v>0.27768954839500876</v>
      </c>
      <c r="D10" s="80">
        <v>6.388079835668517E-2</v>
      </c>
    </row>
    <row r="11" spans="1:4" hidden="1" outlineLevel="1">
      <c r="A11" s="13" t="s">
        <v>168</v>
      </c>
      <c r="B11" s="80">
        <v>0.50989843241896171</v>
      </c>
      <c r="C11" s="80">
        <v>0.27303505327587357</v>
      </c>
      <c r="D11" s="80">
        <v>6.1207991684952071E-2</v>
      </c>
    </row>
    <row r="12" spans="1:4" hidden="1" outlineLevel="1">
      <c r="A12" s="13" t="s">
        <v>169</v>
      </c>
      <c r="B12" s="80">
        <v>0.52076802982076076</v>
      </c>
      <c r="C12" s="80">
        <v>0.268889104045893</v>
      </c>
      <c r="D12" s="80">
        <v>5.7444902997809431E-2</v>
      </c>
    </row>
    <row r="13" spans="1:4" hidden="1" outlineLevel="1">
      <c r="A13" s="13" t="s">
        <v>170</v>
      </c>
      <c r="B13" s="80">
        <v>0.53601771669646714</v>
      </c>
      <c r="C13" s="80">
        <v>0.25532026785401257</v>
      </c>
      <c r="D13" s="80">
        <v>5.396814266848976E-2</v>
      </c>
    </row>
    <row r="14" spans="1:4" hidden="1" outlineLevel="1">
      <c r="A14" s="13" t="s">
        <v>171</v>
      </c>
      <c r="B14" s="80">
        <v>0.55231562830168424</v>
      </c>
      <c r="C14" s="80">
        <v>0.23439910052939947</v>
      </c>
      <c r="D14" s="80">
        <v>5.178170888114219E-2</v>
      </c>
    </row>
    <row r="15" spans="1:4" hidden="1" outlineLevel="1">
      <c r="A15" s="13" t="s">
        <v>172</v>
      </c>
      <c r="B15" s="80">
        <v>0.56063235863136363</v>
      </c>
      <c r="C15" s="80">
        <v>0.217489359349953</v>
      </c>
      <c r="D15" s="80">
        <v>5.1340445525399368E-2</v>
      </c>
    </row>
    <row r="16" spans="1:4" hidden="1" outlineLevel="1">
      <c r="A16" s="13" t="s">
        <v>173</v>
      </c>
      <c r="B16" s="80">
        <v>0.57809614031002421</v>
      </c>
      <c r="C16" s="80">
        <v>0.19899128354670209</v>
      </c>
      <c r="D16" s="80">
        <v>4.9589051245547834E-2</v>
      </c>
    </row>
    <row r="17" spans="1:4" hidden="1" outlineLevel="1">
      <c r="A17" s="13" t="s">
        <v>174</v>
      </c>
      <c r="B17" s="80">
        <v>0.58671001179798143</v>
      </c>
      <c r="C17" s="80">
        <v>0.19045239334161082</v>
      </c>
      <c r="D17" s="80">
        <v>4.9618497586308159E-2</v>
      </c>
    </row>
    <row r="18" spans="1:4" hidden="1" outlineLevel="1">
      <c r="A18" s="13" t="s">
        <v>175</v>
      </c>
      <c r="B18" s="80">
        <v>0.59902506538575051</v>
      </c>
      <c r="C18" s="80">
        <v>0.18424025319805012</v>
      </c>
      <c r="D18" s="80">
        <v>4.7657816268585326E-2</v>
      </c>
    </row>
    <row r="19" spans="1:4" hidden="1" outlineLevel="1">
      <c r="A19" s="13" t="s">
        <v>176</v>
      </c>
      <c r="B19" s="80">
        <v>0.61598869325477001</v>
      </c>
      <c r="C19" s="80">
        <v>0.1742393327427815</v>
      </c>
      <c r="D19" s="80">
        <v>4.5679847916314159E-2</v>
      </c>
    </row>
    <row r="20" spans="1:4" hidden="1" outlineLevel="1">
      <c r="A20" s="13" t="s">
        <v>177</v>
      </c>
      <c r="B20" s="80">
        <v>0.63401365986340141</v>
      </c>
      <c r="C20" s="80">
        <v>0.15938340616593835</v>
      </c>
      <c r="D20" s="80">
        <v>4.4679553204467953E-2</v>
      </c>
    </row>
    <row r="21" spans="1:4" hidden="1" outlineLevel="1">
      <c r="A21" s="13" t="s">
        <v>178</v>
      </c>
      <c r="B21" s="80">
        <v>0.63074006848109732</v>
      </c>
      <c r="C21" s="80">
        <v>0.1558472901697949</v>
      </c>
      <c r="D21" s="80">
        <v>4.4547909114220637E-2</v>
      </c>
    </row>
    <row r="22" spans="1:4" hidden="1" outlineLevel="1">
      <c r="A22" s="13" t="s">
        <v>179</v>
      </c>
      <c r="B22" s="80">
        <v>0.64206272468079828</v>
      </c>
      <c r="C22" s="80">
        <v>0.1528796330730135</v>
      </c>
      <c r="D22" s="80">
        <v>4.2746993925870828E-2</v>
      </c>
    </row>
    <row r="23" spans="1:4" hidden="1" outlineLevel="1">
      <c r="A23" s="13" t="s">
        <v>180</v>
      </c>
      <c r="B23" s="80">
        <v>0.65206734657645038</v>
      </c>
      <c r="C23" s="80">
        <v>0.1468989801353244</v>
      </c>
      <c r="D23" s="80">
        <v>4.2565048428777147E-2</v>
      </c>
    </row>
    <row r="24" spans="1:4" hidden="1" outlineLevel="1">
      <c r="A24" s="13" t="s">
        <v>181</v>
      </c>
      <c r="B24" s="80">
        <v>0.67153069974275625</v>
      </c>
      <c r="C24" s="80">
        <v>0.14481424611641774</v>
      </c>
      <c r="D24" s="80">
        <v>4.2445211079426483E-2</v>
      </c>
    </row>
    <row r="25" spans="1:4" hidden="1" outlineLevel="1">
      <c r="A25" s="13" t="s">
        <v>182</v>
      </c>
      <c r="B25" s="80">
        <v>0.67984597055141938</v>
      </c>
      <c r="C25" s="80">
        <v>0.14195442457634361</v>
      </c>
      <c r="D25" s="80">
        <v>4.2669776747786832E-2</v>
      </c>
    </row>
    <row r="26" spans="1:4" hidden="1" outlineLevel="1">
      <c r="A26" s="13" t="s">
        <v>183</v>
      </c>
      <c r="B26" s="80">
        <v>0.68772984218378974</v>
      </c>
      <c r="C26" s="80">
        <v>0.14438291970496145</v>
      </c>
      <c r="D26" s="80">
        <v>4.3782965936074981E-2</v>
      </c>
    </row>
    <row r="27" spans="1:4" hidden="1" outlineLevel="1">
      <c r="A27" s="13" t="s">
        <v>184</v>
      </c>
      <c r="B27" s="80">
        <v>0.69513654550403958</v>
      </c>
      <c r="C27" s="80">
        <v>0.14195390786709605</v>
      </c>
      <c r="D27" s="80">
        <v>4.1685285340811618E-2</v>
      </c>
    </row>
    <row r="28" spans="1:4" hidden="1" outlineLevel="1">
      <c r="A28" s="13" t="s">
        <v>185</v>
      </c>
      <c r="B28" s="80">
        <v>0.70774164751781254</v>
      </c>
      <c r="C28" s="80">
        <v>0.13830707598375516</v>
      </c>
      <c r="D28" s="80">
        <v>4.3157935340243453E-2</v>
      </c>
    </row>
    <row r="29" spans="1:4" hidden="1" outlineLevel="1">
      <c r="A29" s="13" t="s">
        <v>186</v>
      </c>
      <c r="B29" s="80">
        <v>0.71228375324174853</v>
      </c>
      <c r="C29" s="80">
        <v>0.13926759917927781</v>
      </c>
      <c r="D29" s="80">
        <v>4.2739004093195712E-2</v>
      </c>
    </row>
    <row r="30" spans="1:4" hidden="1" outlineLevel="1">
      <c r="A30" s="13" t="s">
        <v>187</v>
      </c>
      <c r="B30" s="80">
        <v>0.71311122280462413</v>
      </c>
      <c r="C30" s="80">
        <v>0.14137492435043952</v>
      </c>
      <c r="D30" s="80">
        <v>4.3656207366984993E-2</v>
      </c>
    </row>
    <row r="31" spans="1:4" hidden="1" outlineLevel="1">
      <c r="A31" s="13" t="s">
        <v>188</v>
      </c>
      <c r="B31" s="80">
        <v>0.71509370382850779</v>
      </c>
      <c r="C31" s="80">
        <v>0.14235205681847637</v>
      </c>
      <c r="D31" s="80">
        <v>4.3572928277041914E-2</v>
      </c>
    </row>
    <row r="32" spans="1:4" collapsed="1"/>
    <row r="33" spans="1:4">
      <c r="A33" s="82" t="s">
        <v>189</v>
      </c>
    </row>
    <row r="34" spans="1:4" hidden="1" outlineLevel="1">
      <c r="A34" s="13" t="s">
        <v>159</v>
      </c>
      <c r="B34" s="83" t="s">
        <v>160</v>
      </c>
      <c r="C34" s="83" t="s">
        <v>161</v>
      </c>
      <c r="D34" s="83" t="s">
        <v>162</v>
      </c>
    </row>
    <row r="35" spans="1:4" hidden="1" outlineLevel="1">
      <c r="A35" s="13" t="s">
        <v>164</v>
      </c>
      <c r="B35" s="80">
        <f>B7-B6</f>
        <v>1.7296854751637059E-2</v>
      </c>
      <c r="C35" s="80">
        <f t="shared" ref="C35:D35" si="0">C7-C6</f>
        <v>3.8352411687869736E-5</v>
      </c>
      <c r="D35" s="80">
        <f t="shared" si="0"/>
        <v>-9.4303514750732897E-3</v>
      </c>
    </row>
    <row r="36" spans="1:4" hidden="1" outlineLevel="1">
      <c r="A36" s="13" t="s">
        <v>165</v>
      </c>
      <c r="B36" s="80">
        <f t="shared" ref="B36:D51" si="1">B8-B7</f>
        <v>8.2362781143587305E-3</v>
      </c>
      <c r="C36" s="80">
        <f t="shared" si="1"/>
        <v>-8.7546358650891221E-3</v>
      </c>
      <c r="D36" s="80">
        <f t="shared" si="1"/>
        <v>3.6065941042529859E-3</v>
      </c>
    </row>
    <row r="37" spans="1:4" hidden="1" outlineLevel="1">
      <c r="A37" s="13" t="s">
        <v>166</v>
      </c>
      <c r="B37" s="80">
        <f t="shared" si="1"/>
        <v>4.8394515596772436E-3</v>
      </c>
      <c r="C37" s="80">
        <f t="shared" si="1"/>
        <v>-7.5714636299409888E-3</v>
      </c>
      <c r="D37" s="80">
        <f t="shared" si="1"/>
        <v>-2.0923279691917873E-3</v>
      </c>
    </row>
    <row r="38" spans="1:4" hidden="1" outlineLevel="1">
      <c r="A38" s="13" t="s">
        <v>167</v>
      </c>
      <c r="B38" s="80">
        <f t="shared" si="1"/>
        <v>4.2514817023882046E-3</v>
      </c>
      <c r="C38" s="80">
        <f t="shared" si="1"/>
        <v>-3.9371926911918043E-3</v>
      </c>
      <c r="D38" s="80">
        <f t="shared" si="1"/>
        <v>-5.4329309443330864E-4</v>
      </c>
    </row>
    <row r="39" spans="1:4" hidden="1" outlineLevel="1">
      <c r="A39" s="13" t="s">
        <v>168</v>
      </c>
      <c r="B39" s="80">
        <f t="shared" si="1"/>
        <v>1.2636268516702132E-2</v>
      </c>
      <c r="C39" s="80">
        <f t="shared" si="1"/>
        <v>-4.6544951191351824E-3</v>
      </c>
      <c r="D39" s="80">
        <f t="shared" si="1"/>
        <v>-2.6728066717330995E-3</v>
      </c>
    </row>
    <row r="40" spans="1:4" hidden="1" outlineLevel="1">
      <c r="A40" s="13" t="s">
        <v>169</v>
      </c>
      <c r="B40" s="80">
        <f t="shared" si="1"/>
        <v>1.0869597401799047E-2</v>
      </c>
      <c r="C40" s="80">
        <f t="shared" si="1"/>
        <v>-4.1459492299805722E-3</v>
      </c>
      <c r="D40" s="80">
        <f t="shared" si="1"/>
        <v>-3.7630886871426392E-3</v>
      </c>
    </row>
    <row r="41" spans="1:4" hidden="1" outlineLevel="1">
      <c r="A41" s="13" t="s">
        <v>170</v>
      </c>
      <c r="B41" s="80">
        <f t="shared" si="1"/>
        <v>1.5249686875706381E-2</v>
      </c>
      <c r="C41" s="80">
        <f t="shared" si="1"/>
        <v>-1.3568836191880429E-2</v>
      </c>
      <c r="D41" s="80">
        <f t="shared" si="1"/>
        <v>-3.4767603293196711E-3</v>
      </c>
    </row>
    <row r="42" spans="1:4" hidden="1" outlineLevel="1">
      <c r="A42" s="13" t="s">
        <v>171</v>
      </c>
      <c r="B42" s="80">
        <f t="shared" si="1"/>
        <v>1.6297911605217097E-2</v>
      </c>
      <c r="C42" s="80">
        <f t="shared" si="1"/>
        <v>-2.0921167324613105E-2</v>
      </c>
      <c r="D42" s="80">
        <f t="shared" si="1"/>
        <v>-2.1864337873475706E-3</v>
      </c>
    </row>
    <row r="43" spans="1:4" hidden="1" outlineLevel="1">
      <c r="A43" s="13" t="s">
        <v>172</v>
      </c>
      <c r="B43" s="80">
        <f t="shared" si="1"/>
        <v>8.3167303296793893E-3</v>
      </c>
      <c r="C43" s="80">
        <f t="shared" si="1"/>
        <v>-1.6909741179446464E-2</v>
      </c>
      <c r="D43" s="80">
        <f t="shared" si="1"/>
        <v>-4.4126335574282138E-4</v>
      </c>
    </row>
    <row r="44" spans="1:4" hidden="1" outlineLevel="1">
      <c r="A44" s="13" t="s">
        <v>173</v>
      </c>
      <c r="B44" s="80">
        <f t="shared" si="1"/>
        <v>1.7463781678660584E-2</v>
      </c>
      <c r="C44" s="80">
        <f t="shared" si="1"/>
        <v>-1.8498075803250913E-2</v>
      </c>
      <c r="D44" s="80">
        <f t="shared" si="1"/>
        <v>-1.7513942798515342E-3</v>
      </c>
    </row>
    <row r="45" spans="1:4" hidden="1" outlineLevel="1">
      <c r="A45" s="13" t="s">
        <v>174</v>
      </c>
      <c r="B45" s="80">
        <f t="shared" si="1"/>
        <v>8.6138714879572253E-3</v>
      </c>
      <c r="C45" s="80">
        <f t="shared" si="1"/>
        <v>-8.5388902050912707E-3</v>
      </c>
      <c r="D45" s="80">
        <f t="shared" si="1"/>
        <v>2.9446340760325151E-5</v>
      </c>
    </row>
    <row r="46" spans="1:4" hidden="1" outlineLevel="1">
      <c r="A46" s="13" t="s">
        <v>175</v>
      </c>
      <c r="B46" s="80">
        <f t="shared" si="1"/>
        <v>1.2315053587769076E-2</v>
      </c>
      <c r="C46" s="80">
        <f t="shared" si="1"/>
        <v>-6.212140143560696E-3</v>
      </c>
      <c r="D46" s="80">
        <f t="shared" si="1"/>
        <v>-1.960681317722833E-3</v>
      </c>
    </row>
    <row r="47" spans="1:4" hidden="1" outlineLevel="1">
      <c r="A47" s="13" t="s">
        <v>176</v>
      </c>
      <c r="B47" s="80">
        <f t="shared" si="1"/>
        <v>1.6963627869019504E-2</v>
      </c>
      <c r="C47" s="80">
        <f t="shared" si="1"/>
        <v>-1.0000920455268625E-2</v>
      </c>
      <c r="D47" s="80">
        <f t="shared" si="1"/>
        <v>-1.9779683522711672E-3</v>
      </c>
    </row>
    <row r="48" spans="1:4" hidden="1" outlineLevel="1">
      <c r="A48" s="13" t="s">
        <v>177</v>
      </c>
      <c r="B48" s="80">
        <f t="shared" si="1"/>
        <v>1.8024966608631399E-2</v>
      </c>
      <c r="C48" s="80">
        <f t="shared" si="1"/>
        <v>-1.4855926576843148E-2</v>
      </c>
      <c r="D48" s="80">
        <f t="shared" si="1"/>
        <v>-1.0002947118462058E-3</v>
      </c>
    </row>
    <row r="49" spans="1:13" hidden="1" outlineLevel="1">
      <c r="A49" s="13" t="s">
        <v>178</v>
      </c>
      <c r="B49" s="80">
        <f t="shared" si="1"/>
        <v>-3.2735913823040974E-3</v>
      </c>
      <c r="C49" s="80">
        <f t="shared" si="1"/>
        <v>-3.5361159961434518E-3</v>
      </c>
      <c r="D49" s="80">
        <f t="shared" si="1"/>
        <v>-1.3164409024731677E-4</v>
      </c>
    </row>
    <row r="50" spans="1:13" hidden="1" outlineLevel="1">
      <c r="A50" s="13" t="s">
        <v>179</v>
      </c>
      <c r="B50" s="80">
        <f t="shared" si="1"/>
        <v>1.1322656199700964E-2</v>
      </c>
      <c r="C50" s="80">
        <f t="shared" si="1"/>
        <v>-2.9676570967814009E-3</v>
      </c>
      <c r="D50" s="80">
        <f t="shared" si="1"/>
        <v>-1.8009151883498081E-3</v>
      </c>
    </row>
    <row r="51" spans="1:13" hidden="1" outlineLevel="1">
      <c r="A51" s="13" t="s">
        <v>180</v>
      </c>
      <c r="B51" s="80">
        <f t="shared" si="1"/>
        <v>1.0004621895652099E-2</v>
      </c>
      <c r="C51" s="80">
        <f t="shared" si="1"/>
        <v>-5.980652937689096E-3</v>
      </c>
      <c r="D51" s="80">
        <f t="shared" si="1"/>
        <v>-1.8194549709368152E-4</v>
      </c>
    </row>
    <row r="52" spans="1:13" hidden="1" outlineLevel="1">
      <c r="A52" s="13" t="s">
        <v>181</v>
      </c>
      <c r="B52" s="80">
        <f t="shared" ref="B52:D59" si="2">B24-B23</f>
        <v>1.9463353166305875E-2</v>
      </c>
      <c r="C52" s="80">
        <f t="shared" si="2"/>
        <v>-2.0847340189066588E-3</v>
      </c>
      <c r="D52" s="80">
        <f t="shared" si="2"/>
        <v>-1.1983734935066409E-4</v>
      </c>
    </row>
    <row r="53" spans="1:13" hidden="1" outlineLevel="1">
      <c r="A53" s="13" t="s">
        <v>182</v>
      </c>
      <c r="B53" s="80">
        <f t="shared" si="2"/>
        <v>8.3152708086631222E-3</v>
      </c>
      <c r="C53" s="80">
        <f t="shared" si="2"/>
        <v>-2.8598215400741367E-3</v>
      </c>
      <c r="D53" s="80">
        <f t="shared" si="2"/>
        <v>2.2456566836034919E-4</v>
      </c>
    </row>
    <row r="54" spans="1:13" hidden="1" outlineLevel="1">
      <c r="A54" s="13" t="s">
        <v>183</v>
      </c>
      <c r="B54" s="80">
        <f t="shared" si="2"/>
        <v>7.883871632370365E-3</v>
      </c>
      <c r="C54" s="80">
        <f t="shared" si="2"/>
        <v>2.4284951286178413E-3</v>
      </c>
      <c r="D54" s="80">
        <f t="shared" si="2"/>
        <v>1.1131891882881495E-3</v>
      </c>
    </row>
    <row r="55" spans="1:13" hidden="1" outlineLevel="1">
      <c r="A55" s="13" t="s">
        <v>184</v>
      </c>
      <c r="B55" s="80">
        <f t="shared" si="2"/>
        <v>7.4067033202498411E-3</v>
      </c>
      <c r="C55" s="80">
        <f t="shared" si="2"/>
        <v>-2.4290118378653969E-3</v>
      </c>
      <c r="D55" s="80">
        <f t="shared" si="2"/>
        <v>-2.097680595263364E-3</v>
      </c>
    </row>
    <row r="56" spans="1:13" hidden="1" outlineLevel="1">
      <c r="A56" s="13" t="s">
        <v>185</v>
      </c>
      <c r="B56" s="80">
        <f t="shared" si="2"/>
        <v>1.2605102013772962E-2</v>
      </c>
      <c r="C56" s="80">
        <f t="shared" si="2"/>
        <v>-3.6468318833408897E-3</v>
      </c>
      <c r="D56" s="80">
        <f t="shared" si="2"/>
        <v>1.4726499994318354E-3</v>
      </c>
    </row>
    <row r="57" spans="1:13" hidden="1" outlineLevel="1">
      <c r="A57" s="13" t="s">
        <v>186</v>
      </c>
      <c r="B57" s="80">
        <f t="shared" si="2"/>
        <v>4.5421057239359852E-3</v>
      </c>
      <c r="C57" s="80">
        <f t="shared" si="2"/>
        <v>9.6052319552264454E-4</v>
      </c>
      <c r="D57" s="80">
        <f t="shared" si="2"/>
        <v>-4.1893124704774076E-4</v>
      </c>
    </row>
    <row r="58" spans="1:13" hidden="1" outlineLevel="1">
      <c r="A58" s="13" t="s">
        <v>187</v>
      </c>
      <c r="B58" s="80">
        <f t="shared" si="2"/>
        <v>8.2746956287560458E-4</v>
      </c>
      <c r="C58" s="80">
        <f t="shared" si="2"/>
        <v>2.1073251711617169E-3</v>
      </c>
      <c r="D58" s="80">
        <f t="shared" si="2"/>
        <v>9.1720327378928129E-4</v>
      </c>
    </row>
    <row r="59" spans="1:13" hidden="1" outlineLevel="1">
      <c r="A59" s="13" t="s">
        <v>188</v>
      </c>
      <c r="B59" s="80">
        <f t="shared" si="2"/>
        <v>1.9824810238836532E-3</v>
      </c>
      <c r="C59" s="80">
        <f t="shared" si="2"/>
        <v>9.7713246803685094E-4</v>
      </c>
      <c r="D59" s="80">
        <f t="shared" si="2"/>
        <v>-8.3279089943079365E-5</v>
      </c>
    </row>
    <row r="60" spans="1:13" collapsed="1"/>
    <row r="61" spans="1:13">
      <c r="A61" s="40" t="s">
        <v>190</v>
      </c>
      <c r="F61" s="40" t="s">
        <v>191</v>
      </c>
      <c r="K61" s="40" t="s">
        <v>192</v>
      </c>
    </row>
    <row r="62" spans="1:13" outlineLevel="1">
      <c r="B62" s="83" t="s">
        <v>160</v>
      </c>
      <c r="C62" s="83" t="s">
        <v>161</v>
      </c>
      <c r="D62" s="83" t="s">
        <v>162</v>
      </c>
      <c r="F62" s="83" t="s">
        <v>193</v>
      </c>
      <c r="G62" s="14" t="s">
        <v>160</v>
      </c>
      <c r="H62" s="14" t="s">
        <v>161</v>
      </c>
      <c r="I62" s="14" t="s">
        <v>162</v>
      </c>
      <c r="K62" s="13" t="s">
        <v>194</v>
      </c>
      <c r="L62" s="14" t="s">
        <v>160</v>
      </c>
      <c r="M62" s="14" t="s">
        <v>161</v>
      </c>
    </row>
    <row r="63" spans="1:13" outlineLevel="1">
      <c r="A63" s="84" t="s">
        <v>195</v>
      </c>
      <c r="F63" t="s">
        <v>196</v>
      </c>
      <c r="G63" s="11">
        <v>24.8</v>
      </c>
      <c r="H63" s="11">
        <v>18.399999999999999</v>
      </c>
      <c r="I63" s="11">
        <v>24</v>
      </c>
      <c r="K63" t="s">
        <v>197</v>
      </c>
      <c r="L63" s="33">
        <v>0.5</v>
      </c>
      <c r="M63" s="33">
        <v>1</v>
      </c>
    </row>
    <row r="64" spans="1:13" outlineLevel="1">
      <c r="A64" s="85" t="s">
        <v>198</v>
      </c>
      <c r="B64" s="80">
        <f>MIN(MarketShare[Education &amp; Care])</f>
        <v>0.46263809777419834</v>
      </c>
      <c r="C64" s="80">
        <f>MIN(MarketShare[Kindergarten])</f>
        <v>0.13830707598375516</v>
      </c>
      <c r="D64" s="80">
        <f>MIN(MarketShare[Te Kōhanga Reo*])</f>
        <v>4.1685285340811618E-2</v>
      </c>
      <c r="F64" t="s">
        <v>199</v>
      </c>
      <c r="G64" s="11">
        <f>G63/40</f>
        <v>0.62</v>
      </c>
      <c r="H64" s="11">
        <f t="shared" ref="H64:I64" si="3">H63/40</f>
        <v>0.45999999999999996</v>
      </c>
      <c r="I64" s="11">
        <f t="shared" si="3"/>
        <v>0.6</v>
      </c>
      <c r="K64" t="s">
        <v>200</v>
      </c>
      <c r="L64" s="33">
        <f>AVERAGE('[1]Source-fte_qualstus_x_servtype'!K15:AA15)</f>
        <v>0.65096926033728031</v>
      </c>
      <c r="M64" s="33">
        <v>1</v>
      </c>
    </row>
    <row r="65" spans="1:13" outlineLevel="1">
      <c r="A65" s="85" t="s">
        <v>201</v>
      </c>
      <c r="B65" s="80">
        <f>AVERAGE(MarketShare[Education &amp; Care])</f>
        <v>0.60083947648602187</v>
      </c>
      <c r="C65" s="80">
        <f>AVERAGE(MarketShare[Kindergarten])</f>
        <v>0.19964824749897078</v>
      </c>
      <c r="D65" s="80">
        <f>AVERAGE(MarketShare[Te Kōhanga Reo*])</f>
        <v>5.0638789806336633E-2</v>
      </c>
      <c r="K65" t="s">
        <v>202</v>
      </c>
      <c r="L65" s="33">
        <v>1</v>
      </c>
      <c r="M65" s="33">
        <v>1</v>
      </c>
    </row>
    <row r="66" spans="1:13" outlineLevel="1">
      <c r="A66" s="85" t="s">
        <v>203</v>
      </c>
      <c r="B66" s="80">
        <f>MEDIAN(MarketShare[Education &amp; Care])</f>
        <v>0.60750687932026026</v>
      </c>
      <c r="C66" s="80">
        <f>MEDIAN(MarketShare[Kindergarten])</f>
        <v>0.17923979297041581</v>
      </c>
      <c r="D66" s="80">
        <f>MEDIAN(MarketShare[Te Kōhanga Reo*])</f>
        <v>4.6668832092449743E-2</v>
      </c>
      <c r="F66" s="40" t="s">
        <v>204</v>
      </c>
    </row>
    <row r="67" spans="1:13" outlineLevel="1">
      <c r="A67" s="85" t="s">
        <v>205</v>
      </c>
      <c r="B67" s="80">
        <f>MAX(MarketShare[Education &amp; Care])</f>
        <v>0.71509370382850779</v>
      </c>
      <c r="C67" s="80">
        <f>MAX(MarketShare[Kindergarten])</f>
        <v>0.29795284058123067</v>
      </c>
      <c r="D67" s="80">
        <f>MAX(MarketShare[Te Kōhanga Reo*])</f>
        <v>7.234017679113057E-2</v>
      </c>
      <c r="F67" s="13" t="s">
        <v>206</v>
      </c>
      <c r="G67" s="14" t="s">
        <v>160</v>
      </c>
      <c r="H67" s="14" t="s">
        <v>161</v>
      </c>
      <c r="I67" s="14" t="s">
        <v>207</v>
      </c>
    </row>
    <row r="68" spans="1:13" outlineLevel="1">
      <c r="A68" s="85" t="s">
        <v>208</v>
      </c>
      <c r="B68" s="80">
        <f>B67-B64</f>
        <v>0.25245560605430944</v>
      </c>
      <c r="C68" s="80">
        <f t="shared" ref="C68:D68" si="4">C67-C64</f>
        <v>0.15964576459747551</v>
      </c>
      <c r="D68" s="80">
        <f t="shared" si="4"/>
        <v>3.0654891450318952E-2</v>
      </c>
      <c r="F68" t="s">
        <v>209</v>
      </c>
      <c r="G68" s="86">
        <f>1/5</f>
        <v>0.2</v>
      </c>
      <c r="H68" s="86">
        <f>1/5</f>
        <v>0.2</v>
      </c>
      <c r="I68" s="86">
        <f>1/4</f>
        <v>0.25</v>
      </c>
    </row>
    <row r="69" spans="1:13" outlineLevel="1">
      <c r="A69" s="87" t="s">
        <v>210</v>
      </c>
      <c r="F69" t="s">
        <v>211</v>
      </c>
      <c r="G69" s="86">
        <f>1/10</f>
        <v>0.1</v>
      </c>
      <c r="H69" s="86">
        <f>1/10</f>
        <v>0.1</v>
      </c>
      <c r="I69" s="86">
        <f>1/6</f>
        <v>0.16666666666666666</v>
      </c>
    </row>
    <row r="70" spans="1:13" outlineLevel="1">
      <c r="A70" s="85" t="s">
        <v>198</v>
      </c>
      <c r="B70" s="80">
        <f>MIN(B22:B31)</f>
        <v>0.64206272468079828</v>
      </c>
      <c r="C70" s="80">
        <f t="shared" ref="C70:D70" si="5">MIN(C22:C31)</f>
        <v>0.13830707598375516</v>
      </c>
      <c r="D70" s="80">
        <f t="shared" si="5"/>
        <v>4.1685285340811618E-2</v>
      </c>
      <c r="F70" t="s">
        <v>212</v>
      </c>
      <c r="G70" s="88">
        <f>1/4.02</f>
        <v>0.24875621890547267</v>
      </c>
      <c r="H70" s="88">
        <f>1/4.49</f>
        <v>0.22271714922048996</v>
      </c>
      <c r="I70" s="88"/>
    </row>
    <row r="71" spans="1:13" outlineLevel="1">
      <c r="A71" s="85" t="s">
        <v>201</v>
      </c>
      <c r="B71" s="80">
        <f>AVERAGE(B22:B31)</f>
        <v>0.68766034566319467</v>
      </c>
      <c r="C71" s="80">
        <f t="shared" ref="C71:D71" si="6">AVERAGE(C22:C31)</f>
        <v>0.14341857678051056</v>
      </c>
      <c r="D71" s="80">
        <f t="shared" si="6"/>
        <v>4.2902135653621394E-2</v>
      </c>
      <c r="F71" t="s">
        <v>213</v>
      </c>
      <c r="G71" s="88">
        <f>1/5.17</f>
        <v>0.19342359767891684</v>
      </c>
      <c r="H71" s="88">
        <f>1/5.73</f>
        <v>0.17452006980802792</v>
      </c>
      <c r="I71" s="88"/>
    </row>
    <row r="72" spans="1:13" outlineLevel="1">
      <c r="A72" s="85" t="s">
        <v>203</v>
      </c>
      <c r="B72" s="80">
        <f>MEDIAN(B22:B31)</f>
        <v>0.69143319384391466</v>
      </c>
      <c r="C72" s="80">
        <f t="shared" ref="C72:D72" si="7">MEDIAN(C22:C31)</f>
        <v>0.14215324069740998</v>
      </c>
      <c r="D72" s="80">
        <f t="shared" si="7"/>
        <v>4.2742999009533267E-2</v>
      </c>
      <c r="F72" t="s">
        <v>214</v>
      </c>
      <c r="G72" s="88">
        <f>1/6.08</f>
        <v>0.16447368421052633</v>
      </c>
      <c r="H72" s="88">
        <f>1/6.87</f>
        <v>0.14556040756914118</v>
      </c>
      <c r="I72" s="88"/>
    </row>
    <row r="73" spans="1:13" outlineLevel="1">
      <c r="A73" s="85" t="s">
        <v>205</v>
      </c>
      <c r="B73" s="80">
        <f>MAX(B22:B31)</f>
        <v>0.71509370382850779</v>
      </c>
      <c r="C73" s="80">
        <f t="shared" ref="C73:D73" si="8">MAX(C22:C31)</f>
        <v>0.1528796330730135</v>
      </c>
      <c r="D73" s="80">
        <f t="shared" si="8"/>
        <v>4.3782965936074981E-2</v>
      </c>
    </row>
    <row r="74" spans="1:13" outlineLevel="1">
      <c r="A74" s="85" t="s">
        <v>208</v>
      </c>
      <c r="B74" s="80">
        <f>B73-B70</f>
        <v>7.3030979147709507E-2</v>
      </c>
      <c r="C74" s="80">
        <f t="shared" ref="C74:D74" si="9">C73-C70</f>
        <v>1.4572557089258337E-2</v>
      </c>
      <c r="D74" s="80">
        <f t="shared" si="9"/>
        <v>2.097680595263364E-3</v>
      </c>
      <c r="F74" s="40" t="s">
        <v>215</v>
      </c>
    </row>
    <row r="75" spans="1:13" outlineLevel="1">
      <c r="A75" s="87" t="s">
        <v>216</v>
      </c>
      <c r="F75" s="89" t="s">
        <v>206</v>
      </c>
      <c r="G75" s="90" t="s">
        <v>160</v>
      </c>
      <c r="H75" s="90" t="s">
        <v>161</v>
      </c>
      <c r="I75" s="90" t="s">
        <v>207</v>
      </c>
    </row>
    <row r="76" spans="1:13" outlineLevel="1">
      <c r="A76" s="85" t="s">
        <v>198</v>
      </c>
      <c r="B76" s="80">
        <f>MIN(B27:B31)</f>
        <v>0.69513654550403958</v>
      </c>
      <c r="C76" s="80">
        <f t="shared" ref="C76:D76" si="10">MIN(C27:C31)</f>
        <v>0.13830707598375516</v>
      </c>
      <c r="D76" s="80">
        <f t="shared" si="10"/>
        <v>4.1685285340811618E-2</v>
      </c>
      <c r="F76" s="88" t="s">
        <v>217</v>
      </c>
      <c r="G76" s="91">
        <v>0.20973765978720446</v>
      </c>
      <c r="H76" s="91">
        <v>1.2647467549747198E-2</v>
      </c>
      <c r="I76" s="91">
        <v>0.2536810848868889</v>
      </c>
    </row>
    <row r="77" spans="1:13" outlineLevel="1">
      <c r="A77" s="85" t="s">
        <v>201</v>
      </c>
      <c r="B77" s="80">
        <f>AVERAGE(B27:B31)</f>
        <v>0.70867337457934654</v>
      </c>
      <c r="C77" s="80">
        <f t="shared" ref="C77:D77" si="11">AVERAGE(C27:C31)</f>
        <v>0.14065111283980897</v>
      </c>
      <c r="D77" s="80">
        <f t="shared" si="11"/>
        <v>4.2962272083655537E-2</v>
      </c>
      <c r="F77" s="88" t="s">
        <v>218</v>
      </c>
      <c r="G77" s="91">
        <v>0.23076762124248795</v>
      </c>
      <c r="H77" s="91">
        <v>0.14979598474320688</v>
      </c>
      <c r="I77" s="91">
        <v>0.26121162028958889</v>
      </c>
    </row>
    <row r="78" spans="1:13" outlineLevel="1">
      <c r="A78" s="85" t="s">
        <v>203</v>
      </c>
      <c r="B78" s="80">
        <f>MEDIAN(B27:B31)</f>
        <v>0.71228375324174853</v>
      </c>
      <c r="C78" s="80">
        <f t="shared" ref="C78:D78" si="12">MEDIAN(C27:C31)</f>
        <v>0.14137492435043952</v>
      </c>
      <c r="D78" s="80">
        <f t="shared" si="12"/>
        <v>4.3157935340243453E-2</v>
      </c>
      <c r="F78" s="88" t="s">
        <v>219</v>
      </c>
      <c r="G78" s="91">
        <v>0.54219368607951357</v>
      </c>
      <c r="H78" s="91">
        <v>0.81230596375033259</v>
      </c>
      <c r="I78" s="91">
        <v>0.48510729482352222</v>
      </c>
    </row>
    <row r="79" spans="1:13" outlineLevel="1">
      <c r="A79" s="85" t="s">
        <v>205</v>
      </c>
      <c r="B79" s="80">
        <f>MAX(B27:B31)</f>
        <v>0.71509370382850779</v>
      </c>
      <c r="C79" s="80">
        <f t="shared" ref="C79:D79" si="13">MAX(C27:C31)</f>
        <v>0.14235205681847637</v>
      </c>
      <c r="D79" s="80">
        <f t="shared" si="13"/>
        <v>4.3656207366984993E-2</v>
      </c>
      <c r="F79" s="88" t="s">
        <v>220</v>
      </c>
      <c r="G79" s="91">
        <v>1.6819784394695506E-2</v>
      </c>
      <c r="H79" s="91">
        <v>2.5250583956713285E-2</v>
      </c>
      <c r="I79" s="91"/>
    </row>
    <row r="80" spans="1:13" outlineLevel="1">
      <c r="A80" s="85" t="s">
        <v>208</v>
      </c>
      <c r="B80" s="80">
        <f>B79-B76</f>
        <v>1.9957158324468205E-2</v>
      </c>
      <c r="C80" s="80">
        <f t="shared" ref="C80:D80" si="14">C79-C76</f>
        <v>4.0449808347212124E-3</v>
      </c>
      <c r="D80" s="80">
        <f t="shared" si="14"/>
        <v>1.9709220261733759E-3</v>
      </c>
      <c r="G80" s="12"/>
      <c r="H80" s="12"/>
      <c r="I80" s="12"/>
    </row>
    <row r="84" spans="1:22" ht="43.35" customHeight="1">
      <c r="A84" s="40" t="s">
        <v>221</v>
      </c>
      <c r="B84" s="92"/>
      <c r="C84" s="92"/>
      <c r="D84" s="92"/>
      <c r="F84" s="40" t="s">
        <v>222</v>
      </c>
      <c r="O84" s="132" t="s">
        <v>223</v>
      </c>
      <c r="P84" s="132"/>
      <c r="Q84" s="132"/>
      <c r="R84" s="132"/>
      <c r="U84" s="13" t="s">
        <v>224</v>
      </c>
    </row>
    <row r="85" spans="1:22" ht="29.1" outlineLevel="1">
      <c r="A85" s="13" t="s">
        <v>159</v>
      </c>
      <c r="B85" s="83" t="s">
        <v>160</v>
      </c>
      <c r="C85" s="83" t="s">
        <v>161</v>
      </c>
      <c r="D85" s="14" t="s">
        <v>225</v>
      </c>
      <c r="F85" s="13" t="s">
        <v>159</v>
      </c>
      <c r="G85" s="93" t="s">
        <v>226</v>
      </c>
      <c r="H85" s="93" t="s">
        <v>227</v>
      </c>
      <c r="I85" s="93" t="s">
        <v>228</v>
      </c>
      <c r="J85" s="93" t="s">
        <v>229</v>
      </c>
      <c r="K85" s="93" t="s">
        <v>230</v>
      </c>
      <c r="L85" s="93" t="s">
        <v>231</v>
      </c>
      <c r="M85" s="93" t="s">
        <v>232</v>
      </c>
      <c r="O85" s="13" t="s">
        <v>159</v>
      </c>
      <c r="P85" s="93" t="s">
        <v>160</v>
      </c>
      <c r="Q85" s="93" t="s">
        <v>161</v>
      </c>
      <c r="R85" s="93" t="s">
        <v>232</v>
      </c>
      <c r="U85" s="13" t="s">
        <v>159</v>
      </c>
      <c r="V85" s="93" t="s">
        <v>160</v>
      </c>
    </row>
    <row r="86" spans="1:22" outlineLevel="1">
      <c r="A86" s="13">
        <v>2025</v>
      </c>
      <c r="B86" s="94">
        <f>MROUND(([1]T15!$Q15*B$77),5)</f>
        <v>126545</v>
      </c>
      <c r="C86" s="94">
        <f>MROUND(([1]T15!$Q15*C$77),5)</f>
        <v>25115</v>
      </c>
      <c r="D86" s="95">
        <f t="shared" ref="D86:D96" si="15">SUM(B86:C86)</f>
        <v>151660</v>
      </c>
      <c r="F86" s="13">
        <v>2025</v>
      </c>
      <c r="G86" s="95">
        <f>MROUND(((CentreBasedHeadcountEnrolmentsLow[[#This Row],[Education &amp; Care]]*G$76)*G$70)*'[1]Source-fte_qualstus_x_servtype'!J32,5)</f>
        <v>5625</v>
      </c>
      <c r="H86" s="95">
        <f>MROUND(((CentreBasedHeadcountEnrolmentsLow[[#This Row],[Education &amp; Care]]*G$77)*G$71)*'[1]Source-fte_qualstus_x_servtype'!J32,5)</f>
        <v>4810</v>
      </c>
      <c r="I86" s="95">
        <f>MROUND(((CentreBasedHeadcountEnrolmentsLow[[#This Row],[Education &amp; Care]]*SUM(G$78:G$79))*G$72)*'[1]Source-fte_qualstus_x_servtype'!J32,5)</f>
        <v>9910</v>
      </c>
      <c r="J86" s="95">
        <f>MROUND(((CentreBasedHeadcountEnrolmentsLow[[#This Row],[Kindergarten]]*H$76)*H$70)*'[1]Source-fte_qualstus_x_servtype'!J32,5)</f>
        <v>60</v>
      </c>
      <c r="K86" s="95">
        <f>MROUND(((CentreBasedHeadcountEnrolmentsLow[[#This Row],[Kindergarten]]*H$77)*H$71)*'[1]Source-fte_qualstus_x_servtype'!J32,5)</f>
        <v>560</v>
      </c>
      <c r="L86" s="95">
        <f>MROUND(((CentreBasedHeadcountEnrolmentsLow[[#This Row],[Kindergarten]]*SUM(H$78:H$79))*H$72)*'[1]Source-fte_qualstus_x_servtype'!J32,5)</f>
        <v>2610</v>
      </c>
      <c r="M86" s="95">
        <f>SUM(G86:L86)</f>
        <v>23575</v>
      </c>
      <c r="O86" s="13">
        <v>2025</v>
      </c>
      <c r="P86" s="95">
        <f>MROUND(SUM(LowScenarioCentreBasedFTEDemand[[#This Row],[Education &amp; Care (under 2s)]:[Education &amp; Care (3+)]])*L$63,5)</f>
        <v>10175</v>
      </c>
      <c r="Q86" s="95">
        <f>MROUND(SUM(LowScenarioCentreBasedFTEDemand[[#This Row],[Kindergarten (Under 2s)]:[Kindergarten (3+)]])*M$63,5)</f>
        <v>3230</v>
      </c>
      <c r="R86" s="95">
        <f>SUM(P86:Q86)</f>
        <v>13405</v>
      </c>
      <c r="U86" s="13">
        <v>2025</v>
      </c>
      <c r="V86" s="95">
        <f>SUM(LowScenarioCentreBasedFTEDemand[[#This Row],[Education &amp; Care (under 2s)]:[Education &amp; Care (3+)]])-LowScenarioQualifedFTE[[#This Row],[Education &amp; Care]]</f>
        <v>10170</v>
      </c>
    </row>
    <row r="87" spans="1:22" outlineLevel="1">
      <c r="A87" s="13">
        <v>2026</v>
      </c>
      <c r="B87" s="94">
        <f>MROUND(([1]T15!$Q16*B$77),5)</f>
        <v>123190</v>
      </c>
      <c r="C87" s="94">
        <f>MROUND(([1]T15!$Q16*C$77),5)</f>
        <v>24450</v>
      </c>
      <c r="D87" s="95">
        <f t="shared" si="15"/>
        <v>147640</v>
      </c>
      <c r="F87" s="13">
        <v>2026</v>
      </c>
      <c r="G87" s="95">
        <f>MROUND(((CentreBasedHeadcountEnrolmentsLow[[#This Row],[Education &amp; Care]]*G$76)*G$70)*'[1]Source-fte_qualstus_x_servtype'!J33,5)</f>
        <v>5500</v>
      </c>
      <c r="H87" s="95">
        <f>MROUND(((CentreBasedHeadcountEnrolmentsLow[[#This Row],[Education &amp; Care]]*G$77)*G$71)*'[1]Source-fte_qualstus_x_servtype'!J33,5)</f>
        <v>4705</v>
      </c>
      <c r="I87" s="95">
        <f>MROUND(((CentreBasedHeadcountEnrolmentsLow[[#This Row],[Education &amp; Care]]*SUM(G$78:G$79))*G$72)*'[1]Source-fte_qualstus_x_servtype'!J33,5)</f>
        <v>9690</v>
      </c>
      <c r="J87" s="95">
        <f>MROUND(((CentreBasedHeadcountEnrolmentsLow[[#This Row],[Kindergarten]]*H$76)*H$70)*'[1]Source-fte_qualstus_x_servtype'!J33,5)</f>
        <v>60</v>
      </c>
      <c r="K87" s="95">
        <f>MROUND(((CentreBasedHeadcountEnrolmentsLow[[#This Row],[Kindergarten]]*H$77)*H$71)*'[1]Source-fte_qualstus_x_servtype'!J33,5)</f>
        <v>545</v>
      </c>
      <c r="L87" s="95">
        <f>MROUND(((CentreBasedHeadcountEnrolmentsLow[[#This Row],[Kindergarten]]*SUM(H$78:H$79))*H$72)*'[1]Source-fte_qualstus_x_servtype'!J33,5)</f>
        <v>2550</v>
      </c>
      <c r="M87" s="95">
        <f t="shared" ref="M87:M96" si="16">SUM(G87:L87)</f>
        <v>23050</v>
      </c>
      <c r="O87" s="13">
        <v>2026</v>
      </c>
      <c r="P87" s="95">
        <f>MROUND(SUM(LowScenarioCentreBasedFTEDemand[[#This Row],[Education &amp; Care (under 2s)]:[Education &amp; Care (3+)]])*L$63,5)</f>
        <v>9950</v>
      </c>
      <c r="Q87" s="95">
        <f>MROUND(SUM(LowScenarioCentreBasedFTEDemand[[#This Row],[Kindergarten (Under 2s)]:[Kindergarten (3+)]])*M$63,5)</f>
        <v>3155</v>
      </c>
      <c r="R87" s="95">
        <f t="shared" ref="R87:R96" si="17">SUM(P87:Q87)</f>
        <v>13105</v>
      </c>
      <c r="U87" s="13">
        <v>2026</v>
      </c>
      <c r="V87" s="95">
        <f>SUM(LowScenarioCentreBasedFTEDemand[[#This Row],[Education &amp; Care (under 2s)]:[Education &amp; Care (3+)]])-LowScenarioQualifedFTE[[#This Row],[Education &amp; Care]]</f>
        <v>9945</v>
      </c>
    </row>
    <row r="88" spans="1:22" outlineLevel="1">
      <c r="A88" s="13">
        <v>2027</v>
      </c>
      <c r="B88" s="94">
        <f>MROUND(([1]T15!$Q17*B$77),5)</f>
        <v>120065</v>
      </c>
      <c r="C88" s="94">
        <f>MROUND(([1]T15!$Q17*C$77),5)</f>
        <v>23830</v>
      </c>
      <c r="D88" s="95">
        <f t="shared" si="15"/>
        <v>143895</v>
      </c>
      <c r="F88" s="13">
        <v>2027</v>
      </c>
      <c r="G88" s="95">
        <f>MROUND(((CentreBasedHeadcountEnrolmentsLow[[#This Row],[Education &amp; Care]]*G$76)*G$70)*'[1]Source-fte_qualstus_x_servtype'!J34,5)</f>
        <v>5380</v>
      </c>
      <c r="H88" s="95">
        <f>MROUND(((CentreBasedHeadcountEnrolmentsLow[[#This Row],[Education &amp; Care]]*G$77)*G$71)*'[1]Source-fte_qualstus_x_servtype'!J34,5)</f>
        <v>4605</v>
      </c>
      <c r="I88" s="95">
        <f>MROUND(((CentreBasedHeadcountEnrolmentsLow[[#This Row],[Education &amp; Care]]*SUM(G$78:G$79))*G$72)*'[1]Source-fte_qualstus_x_servtype'!J34,5)</f>
        <v>9485</v>
      </c>
      <c r="J88" s="95">
        <f>MROUND(((CentreBasedHeadcountEnrolmentsLow[[#This Row],[Kindergarten]]*H$76)*H$70)*'[1]Source-fte_qualstus_x_servtype'!J34,5)</f>
        <v>60</v>
      </c>
      <c r="K88" s="95">
        <f>MROUND(((CentreBasedHeadcountEnrolmentsLow[[#This Row],[Kindergarten]]*H$77)*H$71)*'[1]Source-fte_qualstus_x_servtype'!J34,5)</f>
        <v>535</v>
      </c>
      <c r="L88" s="95">
        <f>MROUND(((CentreBasedHeadcountEnrolmentsLow[[#This Row],[Kindergarten]]*SUM(H$78:H$79))*H$72)*'[1]Source-fte_qualstus_x_servtype'!J34,5)</f>
        <v>2495</v>
      </c>
      <c r="M88" s="95">
        <f t="shared" si="16"/>
        <v>22560</v>
      </c>
      <c r="O88" s="13">
        <v>2027</v>
      </c>
      <c r="P88" s="95">
        <f>MROUND(SUM(LowScenarioCentreBasedFTEDemand[[#This Row],[Education &amp; Care (under 2s)]:[Education &amp; Care (3+)]])*L$63,5)</f>
        <v>9735</v>
      </c>
      <c r="Q88" s="95">
        <f>MROUND(SUM(LowScenarioCentreBasedFTEDemand[[#This Row],[Kindergarten (Under 2s)]:[Kindergarten (3+)]])*M$63,5)</f>
        <v>3090</v>
      </c>
      <c r="R88" s="95">
        <f t="shared" si="17"/>
        <v>12825</v>
      </c>
      <c r="U88" s="13">
        <v>2027</v>
      </c>
      <c r="V88" s="95">
        <f>SUM(LowScenarioCentreBasedFTEDemand[[#This Row],[Education &amp; Care (under 2s)]:[Education &amp; Care (3+)]])-LowScenarioQualifedFTE[[#This Row],[Education &amp; Care]]</f>
        <v>9735</v>
      </c>
    </row>
    <row r="89" spans="1:22" outlineLevel="1">
      <c r="A89" s="13">
        <v>2028</v>
      </c>
      <c r="B89" s="94">
        <f>MROUND(([1]T15!$Q18*B$77),5)</f>
        <v>119550</v>
      </c>
      <c r="C89" s="94">
        <f>MROUND(([1]T15!$Q18*C$77),5)</f>
        <v>23725</v>
      </c>
      <c r="D89" s="95">
        <f t="shared" si="15"/>
        <v>143275</v>
      </c>
      <c r="F89" s="13">
        <v>2028</v>
      </c>
      <c r="G89" s="95">
        <f>MROUND(((CentreBasedHeadcountEnrolmentsLow[[#This Row],[Education &amp; Care]]*G$76)*G$70)*'[1]Source-fte_qualstus_x_servtype'!J35,5)</f>
        <v>5385</v>
      </c>
      <c r="H89" s="95">
        <f>MROUND(((CentreBasedHeadcountEnrolmentsLow[[#This Row],[Education &amp; Care]]*G$77)*G$71)*'[1]Source-fte_qualstus_x_servtype'!J35,5)</f>
        <v>4605</v>
      </c>
      <c r="I89" s="95">
        <f>MROUND(((CentreBasedHeadcountEnrolmentsLow[[#This Row],[Education &amp; Care]]*SUM(G$78:G$79))*G$72)*'[1]Source-fte_qualstus_x_servtype'!J35,5)</f>
        <v>9485</v>
      </c>
      <c r="J89" s="95">
        <f>MROUND(((CentreBasedHeadcountEnrolmentsLow[[#This Row],[Kindergarten]]*H$76)*H$70)*'[1]Source-fte_qualstus_x_servtype'!J35,5)</f>
        <v>60</v>
      </c>
      <c r="K89" s="95">
        <f>MROUND(((CentreBasedHeadcountEnrolmentsLow[[#This Row],[Kindergarten]]*H$77)*H$71)*'[1]Source-fte_qualstus_x_servtype'!J35,5)</f>
        <v>535</v>
      </c>
      <c r="L89" s="95">
        <f>MROUND(((CentreBasedHeadcountEnrolmentsLow[[#This Row],[Kindergarten]]*SUM(H$78:H$79))*H$72)*'[1]Source-fte_qualstus_x_servtype'!J35,5)</f>
        <v>2495</v>
      </c>
      <c r="M89" s="95">
        <f t="shared" si="16"/>
        <v>22565</v>
      </c>
      <c r="O89" s="13">
        <v>2028</v>
      </c>
      <c r="P89" s="95">
        <f>MROUND(SUM(LowScenarioCentreBasedFTEDemand[[#This Row],[Education &amp; Care (under 2s)]:[Education &amp; Care (3+)]])*L$63,5)</f>
        <v>9740</v>
      </c>
      <c r="Q89" s="95">
        <f>MROUND(SUM(LowScenarioCentreBasedFTEDemand[[#This Row],[Kindergarten (Under 2s)]:[Kindergarten (3+)]])*M$63,5)</f>
        <v>3090</v>
      </c>
      <c r="R89" s="95">
        <f t="shared" si="17"/>
        <v>12830</v>
      </c>
      <c r="U89" s="13">
        <v>2028</v>
      </c>
      <c r="V89" s="95">
        <f>SUM(LowScenarioCentreBasedFTEDemand[[#This Row],[Education &amp; Care (under 2s)]:[Education &amp; Care (3+)]])-LowScenarioQualifedFTE[[#This Row],[Education &amp; Care]]</f>
        <v>9735</v>
      </c>
    </row>
    <row r="90" spans="1:22" outlineLevel="1">
      <c r="A90" s="13">
        <v>2029</v>
      </c>
      <c r="B90" s="94">
        <f>MROUND(([1]T15!$Q19*B$77),5)</f>
        <v>119040</v>
      </c>
      <c r="C90" s="94">
        <f>MROUND(([1]T15!$Q19*C$77),5)</f>
        <v>23625</v>
      </c>
      <c r="D90" s="95">
        <f t="shared" si="15"/>
        <v>142665</v>
      </c>
      <c r="F90" s="13">
        <v>2029</v>
      </c>
      <c r="G90" s="95">
        <f>MROUND(((CentreBasedHeadcountEnrolmentsLow[[#This Row],[Education &amp; Care]]*G$76)*G$70)*'[1]Source-fte_qualstus_x_servtype'!J36,5)</f>
        <v>5385</v>
      </c>
      <c r="H90" s="95">
        <f>MROUND(((CentreBasedHeadcountEnrolmentsLow[[#This Row],[Education &amp; Care]]*G$77)*G$71)*'[1]Source-fte_qualstus_x_servtype'!J36,5)</f>
        <v>4605</v>
      </c>
      <c r="I90" s="95">
        <f>MROUND(((CentreBasedHeadcountEnrolmentsLow[[#This Row],[Education &amp; Care]]*SUM(G$78:G$79))*G$72)*'[1]Source-fte_qualstus_x_servtype'!J36,5)</f>
        <v>9485</v>
      </c>
      <c r="J90" s="95">
        <f>MROUND(((CentreBasedHeadcountEnrolmentsLow[[#This Row],[Kindergarten]]*H$76)*H$70)*'[1]Source-fte_qualstus_x_servtype'!J36,5)</f>
        <v>60</v>
      </c>
      <c r="K90" s="95">
        <f>MROUND(((CentreBasedHeadcountEnrolmentsLow[[#This Row],[Kindergarten]]*H$77)*H$71)*'[1]Source-fte_qualstus_x_servtype'!J36,5)</f>
        <v>535</v>
      </c>
      <c r="L90" s="95">
        <f>MROUND(((CentreBasedHeadcountEnrolmentsLow[[#This Row],[Kindergarten]]*SUM(H$78:H$79))*H$72)*'[1]Source-fte_qualstus_x_servtype'!J36,5)</f>
        <v>2495</v>
      </c>
      <c r="M90" s="95">
        <f t="shared" si="16"/>
        <v>22565</v>
      </c>
      <c r="O90" s="13">
        <v>2029</v>
      </c>
      <c r="P90" s="95">
        <f>MROUND(SUM(LowScenarioCentreBasedFTEDemand[[#This Row],[Education &amp; Care (under 2s)]:[Education &amp; Care (3+)]])*L$63,5)</f>
        <v>9740</v>
      </c>
      <c r="Q90" s="95">
        <f>MROUND(SUM(LowScenarioCentreBasedFTEDemand[[#This Row],[Kindergarten (Under 2s)]:[Kindergarten (3+)]])*M$63,5)</f>
        <v>3090</v>
      </c>
      <c r="R90" s="95">
        <f t="shared" si="17"/>
        <v>12830</v>
      </c>
      <c r="U90" s="13">
        <v>2029</v>
      </c>
      <c r="V90" s="95">
        <f>SUM(LowScenarioCentreBasedFTEDemand[[#This Row],[Education &amp; Care (under 2s)]:[Education &amp; Care (3+)]])-LowScenarioQualifedFTE[[#This Row],[Education &amp; Care]]</f>
        <v>9735</v>
      </c>
    </row>
    <row r="91" spans="1:22" outlineLevel="1">
      <c r="A91" s="13">
        <v>2030</v>
      </c>
      <c r="B91" s="94">
        <f>MROUND(([1]T15!$Q20*B$77),5)</f>
        <v>118190</v>
      </c>
      <c r="C91" s="94">
        <f>MROUND(([1]T15!$Q20*C$77),5)</f>
        <v>23455</v>
      </c>
      <c r="D91" s="95">
        <f t="shared" si="15"/>
        <v>141645</v>
      </c>
      <c r="F91" s="13">
        <v>2030</v>
      </c>
      <c r="G91" s="95">
        <f>MROUND(((CentreBasedHeadcountEnrolmentsLow[[#This Row],[Education &amp; Care]]*G$76)*G$70)*'[1]Source-fte_qualstus_x_servtype'!J37,5)</f>
        <v>5370</v>
      </c>
      <c r="H91" s="95">
        <f>MROUND(((CentreBasedHeadcountEnrolmentsLow[[#This Row],[Education &amp; Care]]*G$77)*G$71)*'[1]Source-fte_qualstus_x_servtype'!J37,5)</f>
        <v>4595</v>
      </c>
      <c r="I91" s="95">
        <f>MROUND(((CentreBasedHeadcountEnrolmentsLow[[#This Row],[Education &amp; Care]]*SUM(G$78:G$79))*G$72)*'[1]Source-fte_qualstus_x_servtype'!J37,5)</f>
        <v>9460</v>
      </c>
      <c r="J91" s="95">
        <f>MROUND(((CentreBasedHeadcountEnrolmentsLow[[#This Row],[Kindergarten]]*H$76)*H$70)*'[1]Source-fte_qualstus_x_servtype'!J37,5)</f>
        <v>60</v>
      </c>
      <c r="K91" s="95">
        <f>MROUND(((CentreBasedHeadcountEnrolmentsLow[[#This Row],[Kindergarten]]*H$77)*H$71)*'[1]Source-fte_qualstus_x_servtype'!J37,5)</f>
        <v>535</v>
      </c>
      <c r="L91" s="95">
        <f>MROUND(((CentreBasedHeadcountEnrolmentsLow[[#This Row],[Kindergarten]]*SUM(H$78:H$79))*H$72)*'[1]Source-fte_qualstus_x_servtype'!J37,5)</f>
        <v>2490</v>
      </c>
      <c r="M91" s="95">
        <f t="shared" si="16"/>
        <v>22510</v>
      </c>
      <c r="O91" s="13">
        <v>2030</v>
      </c>
      <c r="P91" s="95">
        <f>MROUND(SUM(LowScenarioCentreBasedFTEDemand[[#This Row],[Education &amp; Care (under 2s)]:[Education &amp; Care (3+)]])*L$63,5)</f>
        <v>9715</v>
      </c>
      <c r="Q91" s="95">
        <f>MROUND(SUM(LowScenarioCentreBasedFTEDemand[[#This Row],[Kindergarten (Under 2s)]:[Kindergarten (3+)]])*M$63,5)</f>
        <v>3085</v>
      </c>
      <c r="R91" s="95">
        <f t="shared" si="17"/>
        <v>12800</v>
      </c>
      <c r="U91" s="13">
        <v>2030</v>
      </c>
      <c r="V91" s="95">
        <f>SUM(LowScenarioCentreBasedFTEDemand[[#This Row],[Education &amp; Care (under 2s)]:[Education &amp; Care (3+)]])-LowScenarioQualifedFTE[[#This Row],[Education &amp; Care]]</f>
        <v>9710</v>
      </c>
    </row>
    <row r="92" spans="1:22" outlineLevel="1">
      <c r="A92" s="13">
        <v>2031</v>
      </c>
      <c r="B92" s="94">
        <f>MROUND(([1]T15!$Q21*B$77),5)</f>
        <v>117395</v>
      </c>
      <c r="C92" s="94">
        <f>MROUND(([1]T15!$Q21*C$77),5)</f>
        <v>23300</v>
      </c>
      <c r="D92" s="95">
        <f t="shared" si="15"/>
        <v>140695</v>
      </c>
      <c r="F92" s="13">
        <v>2031</v>
      </c>
      <c r="G92" s="95">
        <f>MROUND(((CentreBasedHeadcountEnrolmentsLow[[#This Row],[Education &amp; Care]]*G$76)*G$70)*'[1]Source-fte_qualstus_x_servtype'!J38,5)</f>
        <v>5355</v>
      </c>
      <c r="H92" s="95">
        <f>MROUND(((CentreBasedHeadcountEnrolmentsLow[[#This Row],[Education &amp; Care]]*G$77)*G$71)*'[1]Source-fte_qualstus_x_servtype'!J38,5)</f>
        <v>4580</v>
      </c>
      <c r="I92" s="95">
        <f>MROUND(((CentreBasedHeadcountEnrolmentsLow[[#This Row],[Education &amp; Care]]*SUM(G$78:G$79))*G$72)*'[1]Source-fte_qualstus_x_servtype'!J38,5)</f>
        <v>9440</v>
      </c>
      <c r="J92" s="95">
        <f>MROUND(((CentreBasedHeadcountEnrolmentsLow[[#This Row],[Kindergarten]]*H$76)*H$70)*'[1]Source-fte_qualstus_x_servtype'!J38,5)</f>
        <v>55</v>
      </c>
      <c r="K92" s="95">
        <f>MROUND(((CentreBasedHeadcountEnrolmentsLow[[#This Row],[Kindergarten]]*H$77)*H$71)*'[1]Source-fte_qualstus_x_servtype'!J38,5)</f>
        <v>535</v>
      </c>
      <c r="L92" s="95">
        <f>MROUND(((CentreBasedHeadcountEnrolmentsLow[[#This Row],[Kindergarten]]*SUM(H$78:H$79))*H$72)*'[1]Source-fte_qualstus_x_servtype'!J38,5)</f>
        <v>2485</v>
      </c>
      <c r="M92" s="95">
        <f t="shared" si="16"/>
        <v>22450</v>
      </c>
      <c r="O92" s="13">
        <v>2031</v>
      </c>
      <c r="P92" s="95">
        <f>MROUND(SUM(LowScenarioCentreBasedFTEDemand[[#This Row],[Education &amp; Care (under 2s)]:[Education &amp; Care (3+)]])*L$63,5)</f>
        <v>9690</v>
      </c>
      <c r="Q92" s="95">
        <f>MROUND(SUM(LowScenarioCentreBasedFTEDemand[[#This Row],[Kindergarten (Under 2s)]:[Kindergarten (3+)]])*M$63,5)</f>
        <v>3075</v>
      </c>
      <c r="R92" s="95">
        <f t="shared" si="17"/>
        <v>12765</v>
      </c>
      <c r="U92" s="13">
        <v>2031</v>
      </c>
      <c r="V92" s="95">
        <f>SUM(LowScenarioCentreBasedFTEDemand[[#This Row],[Education &amp; Care (under 2s)]:[Education &amp; Care (3+)]])-LowScenarioQualifedFTE[[#This Row],[Education &amp; Care]]</f>
        <v>9685</v>
      </c>
    </row>
    <row r="93" spans="1:22" outlineLevel="1">
      <c r="A93" s="13">
        <v>2032</v>
      </c>
      <c r="B93" s="94">
        <f>MROUND(([1]T15!$Q22*B$77),5)</f>
        <v>116590</v>
      </c>
      <c r="C93" s="94">
        <f>MROUND(([1]T15!$Q22*C$77),5)</f>
        <v>23140</v>
      </c>
      <c r="D93" s="95">
        <f t="shared" si="15"/>
        <v>139730</v>
      </c>
      <c r="F93" s="13">
        <v>2032</v>
      </c>
      <c r="G93" s="95">
        <f>MROUND(((CentreBasedHeadcountEnrolmentsLow[[#This Row],[Education &amp; Care]]*G$76)*G$70)*'[1]Source-fte_qualstus_x_servtype'!J39,5)</f>
        <v>5340</v>
      </c>
      <c r="H93" s="95">
        <f>MROUND(((CentreBasedHeadcountEnrolmentsLow[[#This Row],[Education &amp; Care]]*G$77)*G$71)*'[1]Source-fte_qualstus_x_servtype'!J39,5)</f>
        <v>4570</v>
      </c>
      <c r="I93" s="95">
        <f>MROUND(((CentreBasedHeadcountEnrolmentsLow[[#This Row],[Education &amp; Care]]*SUM(G$78:G$79))*G$72)*'[1]Source-fte_qualstus_x_servtype'!J39,5)</f>
        <v>9415</v>
      </c>
      <c r="J93" s="95">
        <f>MROUND(((CentreBasedHeadcountEnrolmentsLow[[#This Row],[Kindergarten]]*H$76)*H$70)*'[1]Source-fte_qualstus_x_servtype'!J39,5)</f>
        <v>55</v>
      </c>
      <c r="K93" s="95">
        <f>MROUND(((CentreBasedHeadcountEnrolmentsLow[[#This Row],[Kindergarten]]*H$77)*H$71)*'[1]Source-fte_qualstus_x_servtype'!J39,5)</f>
        <v>530</v>
      </c>
      <c r="L93" s="95">
        <f>MROUND(((CentreBasedHeadcountEnrolmentsLow[[#This Row],[Kindergarten]]*SUM(H$78:H$79))*H$72)*'[1]Source-fte_qualstus_x_servtype'!J39,5)</f>
        <v>2480</v>
      </c>
      <c r="M93" s="95">
        <f t="shared" si="16"/>
        <v>22390</v>
      </c>
      <c r="O93" s="13">
        <v>2032</v>
      </c>
      <c r="P93" s="95">
        <f>MROUND(SUM(LowScenarioCentreBasedFTEDemand[[#This Row],[Education &amp; Care (under 2s)]:[Education &amp; Care (3+)]])*L$63,5)</f>
        <v>9665</v>
      </c>
      <c r="Q93" s="95">
        <f>MROUND(SUM(LowScenarioCentreBasedFTEDemand[[#This Row],[Kindergarten (Under 2s)]:[Kindergarten (3+)]])*M$63,5)</f>
        <v>3065</v>
      </c>
      <c r="R93" s="95">
        <f t="shared" si="17"/>
        <v>12730</v>
      </c>
      <c r="U93" s="13">
        <v>2032</v>
      </c>
      <c r="V93" s="95">
        <f>SUM(LowScenarioCentreBasedFTEDemand[[#This Row],[Education &amp; Care (under 2s)]:[Education &amp; Care (3+)]])-LowScenarioQualifedFTE[[#This Row],[Education &amp; Care]]</f>
        <v>9660</v>
      </c>
    </row>
    <row r="94" spans="1:22" outlineLevel="1">
      <c r="A94" s="13">
        <v>2033</v>
      </c>
      <c r="B94" s="94">
        <f>MROUND(([1]T15!$Q23*B$77),5)</f>
        <v>115920</v>
      </c>
      <c r="C94" s="94">
        <f>MROUND(([1]T15!$Q23*C$77),5)</f>
        <v>23005</v>
      </c>
      <c r="D94" s="95">
        <f t="shared" si="15"/>
        <v>138925</v>
      </c>
      <c r="F94" s="13">
        <v>2033</v>
      </c>
      <c r="G94" s="95">
        <f>MROUND(((CentreBasedHeadcountEnrolmentsLow[[#This Row],[Education &amp; Care]]*G$76)*G$70)*'[1]Source-fte_qualstus_x_servtype'!J40,5)</f>
        <v>5335</v>
      </c>
      <c r="H94" s="95">
        <f>MROUND(((CentreBasedHeadcountEnrolmentsLow[[#This Row],[Education &amp; Care]]*G$77)*G$71)*'[1]Source-fte_qualstus_x_servtype'!J40,5)</f>
        <v>4565</v>
      </c>
      <c r="I94" s="95">
        <f>MROUND(((CentreBasedHeadcountEnrolmentsLow[[#This Row],[Education &amp; Care]]*SUM(G$78:G$79))*G$72)*'[1]Source-fte_qualstus_x_servtype'!J40,5)</f>
        <v>9400</v>
      </c>
      <c r="J94" s="95">
        <f>MROUND(((CentreBasedHeadcountEnrolmentsLow[[#This Row],[Kindergarten]]*H$76)*H$70)*'[1]Source-fte_qualstus_x_servtype'!J40,5)</f>
        <v>55</v>
      </c>
      <c r="K94" s="95">
        <f>MROUND(((CentreBasedHeadcountEnrolmentsLow[[#This Row],[Kindergarten]]*H$77)*H$71)*'[1]Source-fte_qualstus_x_servtype'!J40,5)</f>
        <v>530</v>
      </c>
      <c r="L94" s="95">
        <f>MROUND(((CentreBasedHeadcountEnrolmentsLow[[#This Row],[Kindergarten]]*SUM(H$78:H$79))*H$72)*'[1]Source-fte_qualstus_x_servtype'!J40,5)</f>
        <v>2475</v>
      </c>
      <c r="M94" s="95">
        <f t="shared" si="16"/>
        <v>22360</v>
      </c>
      <c r="O94" s="13">
        <v>2033</v>
      </c>
      <c r="P94" s="95">
        <f>MROUND(SUM(LowScenarioCentreBasedFTEDemand[[#This Row],[Education &amp; Care (under 2s)]:[Education &amp; Care (3+)]])*L$63,5)</f>
        <v>9650</v>
      </c>
      <c r="Q94" s="95">
        <f>MROUND(SUM(LowScenarioCentreBasedFTEDemand[[#This Row],[Kindergarten (Under 2s)]:[Kindergarten (3+)]])*M$63,5)</f>
        <v>3060</v>
      </c>
      <c r="R94" s="95">
        <f t="shared" si="17"/>
        <v>12710</v>
      </c>
      <c r="U94" s="13">
        <v>2033</v>
      </c>
      <c r="V94" s="95">
        <f>SUM(LowScenarioCentreBasedFTEDemand[[#This Row],[Education &amp; Care (under 2s)]:[Education &amp; Care (3+)]])-LowScenarioQualifedFTE[[#This Row],[Education &amp; Care]]</f>
        <v>9650</v>
      </c>
    </row>
    <row r="95" spans="1:22" outlineLevel="1">
      <c r="A95" s="13">
        <v>2034</v>
      </c>
      <c r="B95" s="94">
        <f>MROUND(([1]T15!$Q24*B$77),5)</f>
        <v>115385</v>
      </c>
      <c r="C95" s="94">
        <f>MROUND(([1]T15!$Q24*C$77),5)</f>
        <v>22900</v>
      </c>
      <c r="D95" s="95">
        <f t="shared" si="15"/>
        <v>138285</v>
      </c>
      <c r="F95" s="13">
        <v>2034</v>
      </c>
      <c r="G95" s="95">
        <f>MROUND(((CentreBasedHeadcountEnrolmentsLow[[#This Row],[Education &amp; Care]]*G$76)*G$70)*'[1]Source-fte_qualstus_x_servtype'!J41,5)</f>
        <v>5335</v>
      </c>
      <c r="H95" s="95">
        <f>MROUND(((CentreBasedHeadcountEnrolmentsLow[[#This Row],[Education &amp; Care]]*G$77)*G$71)*'[1]Source-fte_qualstus_x_servtype'!J41,5)</f>
        <v>4560</v>
      </c>
      <c r="I95" s="95">
        <f>MROUND(((CentreBasedHeadcountEnrolmentsLow[[#This Row],[Education &amp; Care]]*SUM(G$78:G$79))*G$72)*'[1]Source-fte_qualstus_x_servtype'!J41,5)</f>
        <v>9395</v>
      </c>
      <c r="J95" s="95">
        <f>MROUND(((CentreBasedHeadcountEnrolmentsLow[[#This Row],[Kindergarten]]*H$76)*H$70)*'[1]Source-fte_qualstus_x_servtype'!J41,5)</f>
        <v>55</v>
      </c>
      <c r="K95" s="95">
        <f>MROUND(((CentreBasedHeadcountEnrolmentsLow[[#This Row],[Kindergarten]]*H$77)*H$71)*'[1]Source-fte_qualstus_x_servtype'!J41,5)</f>
        <v>530</v>
      </c>
      <c r="L95" s="95">
        <f>MROUND(((CentreBasedHeadcountEnrolmentsLow[[#This Row],[Kindergarten]]*SUM(H$78:H$79))*H$72)*'[1]Source-fte_qualstus_x_servtype'!J41,5)</f>
        <v>2475</v>
      </c>
      <c r="M95" s="95">
        <f t="shared" si="16"/>
        <v>22350</v>
      </c>
      <c r="O95" s="13">
        <v>2034</v>
      </c>
      <c r="P95" s="95">
        <f>MROUND(SUM(LowScenarioCentreBasedFTEDemand[[#This Row],[Education &amp; Care (under 2s)]:[Education &amp; Care (3+)]])*L$63,5)</f>
        <v>9645</v>
      </c>
      <c r="Q95" s="95">
        <f>MROUND(SUM(LowScenarioCentreBasedFTEDemand[[#This Row],[Kindergarten (Under 2s)]:[Kindergarten (3+)]])*M$63,5)</f>
        <v>3060</v>
      </c>
      <c r="R95" s="95">
        <f t="shared" si="17"/>
        <v>12705</v>
      </c>
      <c r="U95" s="13">
        <v>2034</v>
      </c>
      <c r="V95" s="95">
        <f>SUM(LowScenarioCentreBasedFTEDemand[[#This Row],[Education &amp; Care (under 2s)]:[Education &amp; Care (3+)]])-LowScenarioQualifedFTE[[#This Row],[Education &amp; Care]]</f>
        <v>9645</v>
      </c>
    </row>
    <row r="96" spans="1:22" outlineLevel="1">
      <c r="A96" s="13">
        <v>2035</v>
      </c>
      <c r="B96" s="94">
        <f>MROUND(([1]T15!$Q25*B$77),5)</f>
        <v>115030</v>
      </c>
      <c r="C96" s="94">
        <f>MROUND(([1]T15!$Q25*C$77),5)</f>
        <v>22830</v>
      </c>
      <c r="D96" s="95">
        <f t="shared" si="15"/>
        <v>137860</v>
      </c>
      <c r="F96" s="13">
        <v>2035</v>
      </c>
      <c r="G96" s="95">
        <f>MROUND(((CentreBasedHeadcountEnrolmentsLow[[#This Row],[Education &amp; Care]]*G$76)*G$70)*'[1]Source-fte_qualstus_x_servtype'!J42,5)</f>
        <v>5340</v>
      </c>
      <c r="H96" s="95">
        <f>MROUND(((CentreBasedHeadcountEnrolmentsLow[[#This Row],[Education &amp; Care]]*G$77)*G$71)*'[1]Source-fte_qualstus_x_servtype'!J42,5)</f>
        <v>4570</v>
      </c>
      <c r="I96" s="95">
        <f>MROUND(((CentreBasedHeadcountEnrolmentsLow[[#This Row],[Education &amp; Care]]*SUM(G$78:G$79))*G$72)*'[1]Source-fte_qualstus_x_servtype'!J42,5)</f>
        <v>9410</v>
      </c>
      <c r="J96" s="95">
        <f>MROUND(((CentreBasedHeadcountEnrolmentsLow[[#This Row],[Kindergarten]]*H$76)*H$70)*'[1]Source-fte_qualstus_x_servtype'!J42,5)</f>
        <v>55</v>
      </c>
      <c r="K96" s="95">
        <f>MROUND(((CentreBasedHeadcountEnrolmentsLow[[#This Row],[Kindergarten]]*H$77)*H$71)*'[1]Source-fte_qualstus_x_servtype'!J42,5)</f>
        <v>530</v>
      </c>
      <c r="L96" s="95">
        <f>MROUND(((CentreBasedHeadcountEnrolmentsLow[[#This Row],[Kindergarten]]*SUM(H$78:H$79))*H$72)*'[1]Source-fte_qualstus_x_servtype'!J42,5)</f>
        <v>2475</v>
      </c>
      <c r="M96" s="95">
        <f t="shared" si="16"/>
        <v>22380</v>
      </c>
      <c r="O96" s="13">
        <v>2035</v>
      </c>
      <c r="P96" s="95">
        <f>MROUND(SUM(LowScenarioCentreBasedFTEDemand[[#This Row],[Education &amp; Care (under 2s)]:[Education &amp; Care (3+)]])*L$63,5)</f>
        <v>9660</v>
      </c>
      <c r="Q96" s="95">
        <f>MROUND(SUM(LowScenarioCentreBasedFTEDemand[[#This Row],[Kindergarten (Under 2s)]:[Kindergarten (3+)]])*M$63,5)</f>
        <v>3060</v>
      </c>
      <c r="R96" s="95">
        <f t="shared" si="17"/>
        <v>12720</v>
      </c>
      <c r="U96" s="13">
        <v>2035</v>
      </c>
      <c r="V96" s="95">
        <f>SUM(LowScenarioCentreBasedFTEDemand[[#This Row],[Education &amp; Care (under 2s)]:[Education &amp; Care (3+)]])-LowScenarioQualifedFTE[[#This Row],[Education &amp; Care]]</f>
        <v>9660</v>
      </c>
    </row>
    <row r="97" spans="1:22">
      <c r="B97" s="92"/>
      <c r="C97" s="92"/>
      <c r="D97" s="92"/>
    </row>
    <row r="98" spans="1:22" ht="43.35" customHeight="1">
      <c r="A98" s="40" t="s">
        <v>233</v>
      </c>
      <c r="B98" s="92"/>
      <c r="C98" s="92"/>
      <c r="D98" s="92"/>
      <c r="F98" s="40" t="s">
        <v>234</v>
      </c>
      <c r="O98" s="132" t="s">
        <v>235</v>
      </c>
      <c r="P98" s="132"/>
      <c r="Q98" s="132"/>
      <c r="R98" s="132"/>
      <c r="U98" s="13" t="s">
        <v>236</v>
      </c>
    </row>
    <row r="99" spans="1:22" ht="29.1" outlineLevel="1">
      <c r="A99" s="13" t="s">
        <v>159</v>
      </c>
      <c r="B99" s="83" t="s">
        <v>160</v>
      </c>
      <c r="C99" s="83" t="s">
        <v>161</v>
      </c>
      <c r="D99" s="14" t="s">
        <v>225</v>
      </c>
      <c r="F99" s="13" t="s">
        <v>159</v>
      </c>
      <c r="G99" s="93" t="s">
        <v>226</v>
      </c>
      <c r="H99" s="93" t="s">
        <v>227</v>
      </c>
      <c r="I99" s="93" t="s">
        <v>228</v>
      </c>
      <c r="J99" s="93" t="s">
        <v>229</v>
      </c>
      <c r="K99" s="93" t="s">
        <v>230</v>
      </c>
      <c r="L99" s="93" t="s">
        <v>231</v>
      </c>
      <c r="M99" s="93" t="s">
        <v>232</v>
      </c>
      <c r="O99" s="13" t="s">
        <v>159</v>
      </c>
      <c r="P99" s="93" t="s">
        <v>160</v>
      </c>
      <c r="Q99" s="93" t="s">
        <v>161</v>
      </c>
      <c r="R99" s="93" t="s">
        <v>232</v>
      </c>
      <c r="U99" s="13" t="s">
        <v>159</v>
      </c>
      <c r="V99" s="93" t="s">
        <v>160</v>
      </c>
    </row>
    <row r="100" spans="1:22" outlineLevel="1">
      <c r="A100" s="13">
        <v>2025</v>
      </c>
      <c r="B100" s="94">
        <f>MROUND(([1]T15!$S15*B$77),5)</f>
        <v>135695</v>
      </c>
      <c r="C100" s="94">
        <f>MROUND(([1]T15!$S15*C$77),5)</f>
        <v>26930</v>
      </c>
      <c r="D100" s="95">
        <f t="shared" ref="D100:D110" si="18">SUM(B100:C100)</f>
        <v>162625</v>
      </c>
      <c r="F100" s="13">
        <v>2025</v>
      </c>
      <c r="G100" s="95">
        <f>MROUND(((CentreBasedHeadcountEnrolmentsMedium[[#This Row],[Education &amp; Care]]*G$76)*G$70)*'[1]Source-fte_qualstus_x_servtype'!J32,5)</f>
        <v>6030</v>
      </c>
      <c r="H100" s="95">
        <f>MROUND(((CentreBasedHeadcountEnrolmentsMedium[[#This Row],[Education &amp; Care]]*G$77)*G$71)*'[1]Source-fte_qualstus_x_servtype'!J32,5)</f>
        <v>5160</v>
      </c>
      <c r="I100" s="95">
        <f>MROUND(((CentreBasedHeadcountEnrolmentsMedium[[#This Row],[Education &amp; Care]]*SUM(G$78:G$79))*G$72)*'[1]Source-fte_qualstus_x_servtype'!J32,5)</f>
        <v>10625</v>
      </c>
      <c r="J100" s="95">
        <f>MROUND(((CentreBasedHeadcountEnrolmentsMedium[[#This Row],[Kindergarten]]*H$76)*H$70)*'[1]Source-fte_qualstus_x_servtype'!J32,5)</f>
        <v>65</v>
      </c>
      <c r="K100" s="95">
        <f>MROUND(((CentreBasedHeadcountEnrolmentsMedium[[#This Row],[Kindergarten]]*H$77)*H$71)*'[1]Source-fte_qualstus_x_servtype'!J32,5)</f>
        <v>600</v>
      </c>
      <c r="L100" s="95">
        <f>MROUND(((CentreBasedHeadcountEnrolmentsMedium[[#This Row],[Kindergarten]]*SUM(H$78:H$79))*H$72)*'[1]Source-fte_qualstus_x_servtype'!J32,5)</f>
        <v>2795</v>
      </c>
      <c r="M100" s="95">
        <f>SUM(G100:L100)</f>
        <v>25275</v>
      </c>
      <c r="O100" s="13">
        <v>2025</v>
      </c>
      <c r="P100" s="95">
        <f>MROUND(SUM(MediumScenarioCentreBasedFTEDemand[[#This Row],[Education &amp; Care (under 2s)]:[Education &amp; Care (3+)]])*L$64,5)</f>
        <v>14200</v>
      </c>
      <c r="Q100" s="95">
        <f>MROUND(SUM(MediumScenarioCentreBasedFTEDemand[[#This Row],[Kindergarten (Under 2s)]:[Kindergarten (3+)]])*M$64,5)</f>
        <v>3460</v>
      </c>
      <c r="R100" s="95">
        <f>SUM(P100:Q100)</f>
        <v>17660</v>
      </c>
      <c r="U100" s="13">
        <v>2025</v>
      </c>
      <c r="V100" s="95">
        <f>SUM(MediumScenarioCentreBasedFTEDemand[[#This Row],[Education &amp; Care (under 2s)]:[Education &amp; Care (3+)]])-MediumScenarioQualifiedFTE[[#This Row],[Education &amp; Care]]</f>
        <v>7615</v>
      </c>
    </row>
    <row r="101" spans="1:22" outlineLevel="1">
      <c r="A101" s="13">
        <v>2026</v>
      </c>
      <c r="B101" s="94">
        <f>MROUND(([1]T15!$S16*B$77),5)</f>
        <v>132945</v>
      </c>
      <c r="C101" s="94">
        <f>MROUND(([1]T15!$S16*C$77),5)</f>
        <v>26385</v>
      </c>
      <c r="D101" s="95">
        <f t="shared" si="18"/>
        <v>159330</v>
      </c>
      <c r="F101" s="13">
        <v>2026</v>
      </c>
      <c r="G101" s="95">
        <f>MROUND(((CentreBasedHeadcountEnrolmentsMedium[[#This Row],[Education &amp; Care]]*G$76)*G$70)*'[1]Source-fte_qualstus_x_servtype'!J33,5)</f>
        <v>5935</v>
      </c>
      <c r="H101" s="95">
        <f>MROUND(((CentreBasedHeadcountEnrolmentsMedium[[#This Row],[Education &amp; Care]]*G$77)*G$71)*'[1]Source-fte_qualstus_x_servtype'!J33,5)</f>
        <v>5075</v>
      </c>
      <c r="I101" s="95">
        <f>MROUND(((CentreBasedHeadcountEnrolmentsMedium[[#This Row],[Education &amp; Care]]*SUM(G$78:G$79))*G$72)*'[1]Source-fte_qualstus_x_servtype'!J33,5)</f>
        <v>10455</v>
      </c>
      <c r="J101" s="95">
        <f>MROUND(((CentreBasedHeadcountEnrolmentsMedium[[#This Row],[Kindergarten]]*H$76)*H$70)*'[1]Source-fte_qualstus_x_servtype'!J33,5)</f>
        <v>65</v>
      </c>
      <c r="K101" s="95">
        <f>MROUND(((CentreBasedHeadcountEnrolmentsMedium[[#This Row],[Kindergarten]]*H$77)*H$71)*'[1]Source-fte_qualstus_x_servtype'!J33,5)</f>
        <v>590</v>
      </c>
      <c r="L101" s="95">
        <f>MROUND(((CentreBasedHeadcountEnrolmentsMedium[[#This Row],[Kindergarten]]*SUM(H$78:H$79))*H$72)*'[1]Source-fte_qualstus_x_servtype'!J33,5)</f>
        <v>2750</v>
      </c>
      <c r="M101" s="95">
        <f t="shared" ref="M101:M110" si="19">SUM(G101:L101)</f>
        <v>24870</v>
      </c>
      <c r="O101" s="13">
        <v>2026</v>
      </c>
      <c r="P101" s="95">
        <f>MROUND(SUM(MediumScenarioCentreBasedFTEDemand[[#This Row],[Education &amp; Care (under 2s)]:[Education &amp; Care (3+)]])*L$64,5)</f>
        <v>13975</v>
      </c>
      <c r="Q101" s="95">
        <f>MROUND(SUM(MediumScenarioCentreBasedFTEDemand[[#This Row],[Kindergarten (Under 2s)]:[Kindergarten (3+)]])*M$64,5)</f>
        <v>3405</v>
      </c>
      <c r="R101" s="95">
        <f t="shared" ref="R101:R110" si="20">SUM(P101:Q101)</f>
        <v>17380</v>
      </c>
      <c r="U101" s="13">
        <v>2026</v>
      </c>
      <c r="V101" s="95">
        <f>SUM(MediumScenarioCentreBasedFTEDemand[[#This Row],[Education &amp; Care (under 2s)]:[Education &amp; Care (3+)]])-MediumScenarioQualifiedFTE[[#This Row],[Education &amp; Care]]</f>
        <v>7490</v>
      </c>
    </row>
    <row r="102" spans="1:22" outlineLevel="1">
      <c r="A102" s="13">
        <v>2027</v>
      </c>
      <c r="B102" s="94">
        <f>MROUND(([1]T15!$S17*B$77),5)</f>
        <v>130635</v>
      </c>
      <c r="C102" s="94">
        <f>MROUND(([1]T15!$S17*C$77),5)</f>
        <v>25925</v>
      </c>
      <c r="D102" s="95">
        <f t="shared" si="18"/>
        <v>156560</v>
      </c>
      <c r="F102" s="13">
        <v>2027</v>
      </c>
      <c r="G102" s="95">
        <f>MROUND(((CentreBasedHeadcountEnrolmentsMedium[[#This Row],[Education &amp; Care]]*G$76)*G$70)*'[1]Source-fte_qualstus_x_servtype'!J34,5)</f>
        <v>5855</v>
      </c>
      <c r="H102" s="95">
        <f>MROUND(((CentreBasedHeadcountEnrolmentsMedium[[#This Row],[Education &amp; Care]]*G$77)*G$71)*'[1]Source-fte_qualstus_x_servtype'!J34,5)</f>
        <v>5010</v>
      </c>
      <c r="I102" s="95">
        <f>MROUND(((CentreBasedHeadcountEnrolmentsMedium[[#This Row],[Education &amp; Care]]*SUM(G$78:G$79))*G$72)*'[1]Source-fte_qualstus_x_servtype'!J34,5)</f>
        <v>10320</v>
      </c>
      <c r="J102" s="95">
        <f>MROUND(((CentreBasedHeadcountEnrolmentsMedium[[#This Row],[Kindergarten]]*H$76)*H$70)*'[1]Source-fte_qualstus_x_servtype'!J34,5)</f>
        <v>65</v>
      </c>
      <c r="K102" s="95">
        <f>MROUND(((CentreBasedHeadcountEnrolmentsMedium[[#This Row],[Kindergarten]]*H$77)*H$71)*'[1]Source-fte_qualstus_x_servtype'!J34,5)</f>
        <v>580</v>
      </c>
      <c r="L102" s="95">
        <f>MROUND(((CentreBasedHeadcountEnrolmentsMedium[[#This Row],[Kindergarten]]*SUM(H$78:H$79))*H$72)*'[1]Source-fte_qualstus_x_servtype'!J34,5)</f>
        <v>2715</v>
      </c>
      <c r="M102" s="95">
        <f t="shared" si="19"/>
        <v>24545</v>
      </c>
      <c r="O102" s="13">
        <v>2027</v>
      </c>
      <c r="P102" s="95">
        <f>MROUND(SUM(MediumScenarioCentreBasedFTEDemand[[#This Row],[Education &amp; Care (under 2s)]:[Education &amp; Care (3+)]])*L$64,5)</f>
        <v>13790</v>
      </c>
      <c r="Q102" s="95">
        <f>MROUND(SUM(MediumScenarioCentreBasedFTEDemand[[#This Row],[Kindergarten (Under 2s)]:[Kindergarten (3+)]])*M$64,5)</f>
        <v>3360</v>
      </c>
      <c r="R102" s="95">
        <f t="shared" si="20"/>
        <v>17150</v>
      </c>
      <c r="U102" s="13">
        <v>2027</v>
      </c>
      <c r="V102" s="95">
        <f>SUM(MediumScenarioCentreBasedFTEDemand[[#This Row],[Education &amp; Care (under 2s)]:[Education &amp; Care (3+)]])-MediumScenarioQualifiedFTE[[#This Row],[Education &amp; Care]]</f>
        <v>7395</v>
      </c>
    </row>
    <row r="103" spans="1:22" outlineLevel="1">
      <c r="A103" s="13">
        <v>2028</v>
      </c>
      <c r="B103" s="94">
        <f>MROUND(([1]T15!$S18*B$77),5)</f>
        <v>131365</v>
      </c>
      <c r="C103" s="94">
        <f>MROUND(([1]T15!$S18*C$77),5)</f>
        <v>26070</v>
      </c>
      <c r="D103" s="95">
        <f t="shared" si="18"/>
        <v>157435</v>
      </c>
      <c r="F103" s="13">
        <v>2028</v>
      </c>
      <c r="G103" s="95">
        <f>MROUND(((CentreBasedHeadcountEnrolmentsMedium[[#This Row],[Education &amp; Care]]*G$76)*G$70)*'[1]Source-fte_qualstus_x_servtype'!J35,5)</f>
        <v>5915</v>
      </c>
      <c r="H103" s="95">
        <f>MROUND(((CentreBasedHeadcountEnrolmentsMedium[[#This Row],[Education &amp; Care]]*G$77)*G$71)*'[1]Source-fte_qualstus_x_servtype'!J35,5)</f>
        <v>5060</v>
      </c>
      <c r="I103" s="95">
        <f>MROUND(((CentreBasedHeadcountEnrolmentsMedium[[#This Row],[Education &amp; Care]]*SUM(G$78:G$79))*G$72)*'[1]Source-fte_qualstus_x_servtype'!J35,5)</f>
        <v>10425</v>
      </c>
      <c r="J103" s="95">
        <f>MROUND(((CentreBasedHeadcountEnrolmentsMedium[[#This Row],[Kindergarten]]*H$76)*H$70)*'[1]Source-fte_qualstus_x_servtype'!J35,5)</f>
        <v>65</v>
      </c>
      <c r="K103" s="95">
        <f>MROUND(((CentreBasedHeadcountEnrolmentsMedium[[#This Row],[Kindergarten]]*H$77)*H$71)*'[1]Source-fte_qualstus_x_servtype'!J35,5)</f>
        <v>590</v>
      </c>
      <c r="L103" s="95">
        <f>MROUND(((CentreBasedHeadcountEnrolmentsMedium[[#This Row],[Kindergarten]]*SUM(H$78:H$79))*H$72)*'[1]Source-fte_qualstus_x_servtype'!J35,5)</f>
        <v>2745</v>
      </c>
      <c r="M103" s="95">
        <f t="shared" si="19"/>
        <v>24800</v>
      </c>
      <c r="O103" s="13">
        <v>2028</v>
      </c>
      <c r="P103" s="95">
        <f>MROUND(SUM(MediumScenarioCentreBasedFTEDemand[[#This Row],[Education &amp; Care (under 2s)]:[Education &amp; Care (3+)]])*L$64,5)</f>
        <v>13930</v>
      </c>
      <c r="Q103" s="95">
        <f>MROUND(SUM(MediumScenarioCentreBasedFTEDemand[[#This Row],[Kindergarten (Under 2s)]:[Kindergarten (3+)]])*M$64,5)</f>
        <v>3400</v>
      </c>
      <c r="R103" s="95">
        <f t="shared" si="20"/>
        <v>17330</v>
      </c>
      <c r="U103" s="13">
        <v>2028</v>
      </c>
      <c r="V103" s="95">
        <f>SUM(MediumScenarioCentreBasedFTEDemand[[#This Row],[Education &amp; Care (under 2s)]:[Education &amp; Care (3+)]])-MediumScenarioQualifiedFTE[[#This Row],[Education &amp; Care]]</f>
        <v>7470</v>
      </c>
    </row>
    <row r="104" spans="1:22" outlineLevel="1">
      <c r="A104" s="13">
        <v>2029</v>
      </c>
      <c r="B104" s="94">
        <f>MROUND(([1]T15!$S19*B$77),5)</f>
        <v>132215</v>
      </c>
      <c r="C104" s="94">
        <f>MROUND(([1]T15!$S19*C$77),5)</f>
        <v>26240</v>
      </c>
      <c r="D104" s="95">
        <f t="shared" si="18"/>
        <v>158455</v>
      </c>
      <c r="F104" s="13">
        <v>2029</v>
      </c>
      <c r="G104" s="95">
        <f>MROUND(((CentreBasedHeadcountEnrolmentsMedium[[#This Row],[Education &amp; Care]]*G$76)*G$70)*'[1]Source-fte_qualstus_x_servtype'!J36,5)</f>
        <v>5980</v>
      </c>
      <c r="H104" s="95">
        <f>MROUND(((CentreBasedHeadcountEnrolmentsMedium[[#This Row],[Education &amp; Care]]*G$77)*G$71)*'[1]Source-fte_qualstus_x_servtype'!J36,5)</f>
        <v>5115</v>
      </c>
      <c r="I104" s="95">
        <f>MROUND(((CentreBasedHeadcountEnrolmentsMedium[[#This Row],[Education &amp; Care]]*SUM(G$78:G$79))*G$72)*'[1]Source-fte_qualstus_x_servtype'!J36,5)</f>
        <v>10535</v>
      </c>
      <c r="J104" s="95">
        <f>MROUND(((CentreBasedHeadcountEnrolmentsMedium[[#This Row],[Kindergarten]]*H$76)*H$70)*'[1]Source-fte_qualstus_x_servtype'!J36,5)</f>
        <v>65</v>
      </c>
      <c r="K104" s="95">
        <f>MROUND(((CentreBasedHeadcountEnrolmentsMedium[[#This Row],[Kindergarten]]*H$77)*H$71)*'[1]Source-fte_qualstus_x_servtype'!J36,5)</f>
        <v>595</v>
      </c>
      <c r="L104" s="95">
        <f>MROUND(((CentreBasedHeadcountEnrolmentsMedium[[#This Row],[Kindergarten]]*SUM(H$78:H$79))*H$72)*'[1]Source-fte_qualstus_x_servtype'!J36,5)</f>
        <v>2775</v>
      </c>
      <c r="M104" s="95">
        <f t="shared" si="19"/>
        <v>25065</v>
      </c>
      <c r="O104" s="13">
        <v>2029</v>
      </c>
      <c r="P104" s="95">
        <f>MROUND(SUM(MediumScenarioCentreBasedFTEDemand[[#This Row],[Education &amp; Care (under 2s)]:[Education &amp; Care (3+)]])*L$64,5)</f>
        <v>14080</v>
      </c>
      <c r="Q104" s="95">
        <f>MROUND(SUM(MediumScenarioCentreBasedFTEDemand[[#This Row],[Kindergarten (Under 2s)]:[Kindergarten (3+)]])*M$64,5)</f>
        <v>3435</v>
      </c>
      <c r="R104" s="95">
        <f t="shared" si="20"/>
        <v>17515</v>
      </c>
      <c r="U104" s="13">
        <v>2029</v>
      </c>
      <c r="V104" s="95">
        <f>SUM(MediumScenarioCentreBasedFTEDemand[[#This Row],[Education &amp; Care (under 2s)]:[Education &amp; Care (3+)]])-MediumScenarioQualifiedFTE[[#This Row],[Education &amp; Care]]</f>
        <v>7550</v>
      </c>
    </row>
    <row r="105" spans="1:22" outlineLevel="1">
      <c r="A105" s="13">
        <v>2030</v>
      </c>
      <c r="B105" s="94">
        <f>MROUND(([1]T15!$S20*B$77),5)</f>
        <v>132305</v>
      </c>
      <c r="C105" s="94">
        <f>MROUND(([1]T15!$S20*C$77),5)</f>
        <v>26260</v>
      </c>
      <c r="D105" s="95">
        <f t="shared" si="18"/>
        <v>158565</v>
      </c>
      <c r="F105" s="13">
        <v>2030</v>
      </c>
      <c r="G105" s="95">
        <f>MROUND(((CentreBasedHeadcountEnrolmentsMedium[[#This Row],[Education &amp; Care]]*G$76)*G$70)*'[1]Source-fte_qualstus_x_servtype'!J37,5)</f>
        <v>6010</v>
      </c>
      <c r="H105" s="95">
        <f>MROUND(((CentreBasedHeadcountEnrolmentsMedium[[#This Row],[Education &amp; Care]]*G$77)*G$71)*'[1]Source-fte_qualstus_x_servtype'!J37,5)</f>
        <v>5140</v>
      </c>
      <c r="I105" s="95">
        <f>MROUND(((CentreBasedHeadcountEnrolmentsMedium[[#This Row],[Education &amp; Care]]*SUM(G$78:G$79))*G$72)*'[1]Source-fte_qualstus_x_servtype'!J37,5)</f>
        <v>10590</v>
      </c>
      <c r="J105" s="95">
        <f>MROUND(((CentreBasedHeadcountEnrolmentsMedium[[#This Row],[Kindergarten]]*H$76)*H$70)*'[1]Source-fte_qualstus_x_servtype'!J37,5)</f>
        <v>65</v>
      </c>
      <c r="K105" s="95">
        <f>MROUND(((CentreBasedHeadcountEnrolmentsMedium[[#This Row],[Kindergarten]]*H$77)*H$71)*'[1]Source-fte_qualstus_x_servtype'!J37,5)</f>
        <v>600</v>
      </c>
      <c r="L105" s="95">
        <f>MROUND(((CentreBasedHeadcountEnrolmentsMedium[[#This Row],[Kindergarten]]*SUM(H$78:H$79))*H$72)*'[1]Source-fte_qualstus_x_servtype'!J37,5)</f>
        <v>2785</v>
      </c>
      <c r="M105" s="95">
        <f t="shared" si="19"/>
        <v>25190</v>
      </c>
      <c r="O105" s="13">
        <v>2030</v>
      </c>
      <c r="P105" s="95">
        <f>MROUND(SUM(MediumScenarioCentreBasedFTEDemand[[#This Row],[Education &amp; Care (under 2s)]:[Education &amp; Care (3+)]])*L$64,5)</f>
        <v>14150</v>
      </c>
      <c r="Q105" s="95">
        <f>MROUND(SUM(MediumScenarioCentreBasedFTEDemand[[#This Row],[Kindergarten (Under 2s)]:[Kindergarten (3+)]])*M$64,5)</f>
        <v>3450</v>
      </c>
      <c r="R105" s="95">
        <f t="shared" si="20"/>
        <v>17600</v>
      </c>
      <c r="U105" s="13">
        <v>2030</v>
      </c>
      <c r="V105" s="95">
        <f>SUM(MediumScenarioCentreBasedFTEDemand[[#This Row],[Education &amp; Care (under 2s)]:[Education &amp; Care (3+)]])-MediumScenarioQualifiedFTE[[#This Row],[Education &amp; Care]]</f>
        <v>7590</v>
      </c>
    </row>
    <row r="106" spans="1:22" outlineLevel="1">
      <c r="A106" s="13">
        <v>2031</v>
      </c>
      <c r="B106" s="94">
        <f>MROUND(([1]T15!$S21*B$77),5)</f>
        <v>132330</v>
      </c>
      <c r="C106" s="94">
        <f>MROUND(([1]T15!$S21*C$77),5)</f>
        <v>26265</v>
      </c>
      <c r="D106" s="95">
        <f t="shared" si="18"/>
        <v>158595</v>
      </c>
      <c r="F106" s="13">
        <v>2031</v>
      </c>
      <c r="G106" s="95">
        <f>MROUND(((CentreBasedHeadcountEnrolmentsMedium[[#This Row],[Education &amp; Care]]*G$76)*G$70)*'[1]Source-fte_qualstus_x_servtype'!J38,5)</f>
        <v>6035</v>
      </c>
      <c r="H106" s="95">
        <f>MROUND(((CentreBasedHeadcountEnrolmentsMedium[[#This Row],[Education &amp; Care]]*G$77)*G$71)*'[1]Source-fte_qualstus_x_servtype'!J38,5)</f>
        <v>5165</v>
      </c>
      <c r="I106" s="95">
        <f>MROUND(((CentreBasedHeadcountEnrolmentsMedium[[#This Row],[Education &amp; Care]]*SUM(G$78:G$79))*G$72)*'[1]Source-fte_qualstus_x_servtype'!J38,5)</f>
        <v>10640</v>
      </c>
      <c r="J106" s="95">
        <f>MROUND(((CentreBasedHeadcountEnrolmentsMedium[[#This Row],[Kindergarten]]*H$76)*H$70)*'[1]Source-fte_qualstus_x_servtype'!J38,5)</f>
        <v>65</v>
      </c>
      <c r="K106" s="95">
        <f>MROUND(((CentreBasedHeadcountEnrolmentsMedium[[#This Row],[Kindergarten]]*H$77)*H$71)*'[1]Source-fte_qualstus_x_servtype'!J38,5)</f>
        <v>600</v>
      </c>
      <c r="L106" s="95">
        <f>MROUND(((CentreBasedHeadcountEnrolmentsMedium[[#This Row],[Kindergarten]]*SUM(H$78:H$79))*H$72)*'[1]Source-fte_qualstus_x_servtype'!J38,5)</f>
        <v>2800</v>
      </c>
      <c r="M106" s="95">
        <f t="shared" si="19"/>
        <v>25305</v>
      </c>
      <c r="O106" s="13">
        <v>2031</v>
      </c>
      <c r="P106" s="95">
        <f>MROUND(SUM(MediumScenarioCentreBasedFTEDemand[[#This Row],[Education &amp; Care (under 2s)]:[Education &amp; Care (3+)]])*L$64,5)</f>
        <v>14215</v>
      </c>
      <c r="Q106" s="95">
        <f>MROUND(SUM(MediumScenarioCentreBasedFTEDemand[[#This Row],[Kindergarten (Under 2s)]:[Kindergarten (3+)]])*M$64,5)</f>
        <v>3465</v>
      </c>
      <c r="R106" s="95">
        <f t="shared" si="20"/>
        <v>17680</v>
      </c>
      <c r="U106" s="13">
        <v>2031</v>
      </c>
      <c r="V106" s="95">
        <f>SUM(MediumScenarioCentreBasedFTEDemand[[#This Row],[Education &amp; Care (under 2s)]:[Education &amp; Care (3+)]])-MediumScenarioQualifiedFTE[[#This Row],[Education &amp; Care]]</f>
        <v>7625</v>
      </c>
    </row>
    <row r="107" spans="1:22" outlineLevel="1">
      <c r="A107" s="13">
        <v>2032</v>
      </c>
      <c r="B107" s="94">
        <f>MROUND(([1]T15!$S22*B$77),5)</f>
        <v>132335</v>
      </c>
      <c r="C107" s="94">
        <f>MROUND(([1]T15!$S22*C$77),5)</f>
        <v>26265</v>
      </c>
      <c r="D107" s="95">
        <f t="shared" si="18"/>
        <v>158600</v>
      </c>
      <c r="F107" s="13">
        <v>2032</v>
      </c>
      <c r="G107" s="95">
        <f>MROUND(((CentreBasedHeadcountEnrolmentsMedium[[#This Row],[Education &amp; Care]]*G$76)*G$70)*'[1]Source-fte_qualstus_x_servtype'!J39,5)</f>
        <v>6065</v>
      </c>
      <c r="H107" s="95">
        <f>MROUND(((CentreBasedHeadcountEnrolmentsMedium[[#This Row],[Education &amp; Care]]*G$77)*G$71)*'[1]Source-fte_qualstus_x_servtype'!J39,5)</f>
        <v>5185</v>
      </c>
      <c r="I107" s="95">
        <f>MROUND(((CentreBasedHeadcountEnrolmentsMedium[[#This Row],[Education &amp; Care]]*SUM(G$78:G$79))*G$72)*'[1]Source-fte_qualstus_x_servtype'!J39,5)</f>
        <v>10685</v>
      </c>
      <c r="J107" s="95">
        <f>MROUND(((CentreBasedHeadcountEnrolmentsMedium[[#This Row],[Kindergarten]]*H$76)*H$70)*'[1]Source-fte_qualstus_x_servtype'!J39,5)</f>
        <v>65</v>
      </c>
      <c r="K107" s="95">
        <f>MROUND(((CentreBasedHeadcountEnrolmentsMedium[[#This Row],[Kindergarten]]*H$77)*H$71)*'[1]Source-fte_qualstus_x_servtype'!J39,5)</f>
        <v>605</v>
      </c>
      <c r="L107" s="95">
        <f>MROUND(((CentreBasedHeadcountEnrolmentsMedium[[#This Row],[Kindergarten]]*SUM(H$78:H$79))*H$72)*'[1]Source-fte_qualstus_x_servtype'!J39,5)</f>
        <v>2810</v>
      </c>
      <c r="M107" s="95">
        <f t="shared" si="19"/>
        <v>25415</v>
      </c>
      <c r="O107" s="13">
        <v>2032</v>
      </c>
      <c r="P107" s="95">
        <f>MROUND(SUM(MediumScenarioCentreBasedFTEDemand[[#This Row],[Education &amp; Care (under 2s)]:[Education &amp; Care (3+)]])*L$64,5)</f>
        <v>14280</v>
      </c>
      <c r="Q107" s="95">
        <f>MROUND(SUM(MediumScenarioCentreBasedFTEDemand[[#This Row],[Kindergarten (Under 2s)]:[Kindergarten (3+)]])*M$64,5)</f>
        <v>3480</v>
      </c>
      <c r="R107" s="95">
        <f t="shared" si="20"/>
        <v>17760</v>
      </c>
      <c r="U107" s="13">
        <v>2032</v>
      </c>
      <c r="V107" s="95">
        <f>SUM(MediumScenarioCentreBasedFTEDemand[[#This Row],[Education &amp; Care (under 2s)]:[Education &amp; Care (3+)]])-MediumScenarioQualifiedFTE[[#This Row],[Education &amp; Care]]</f>
        <v>7655</v>
      </c>
    </row>
    <row r="108" spans="1:22" outlineLevel="1">
      <c r="A108" s="13">
        <v>2033</v>
      </c>
      <c r="B108" s="94">
        <f>MROUND(([1]T15!$S23*B$77),5)</f>
        <v>132360</v>
      </c>
      <c r="C108" s="94">
        <f>MROUND(([1]T15!$S23*C$77),5)</f>
        <v>26270</v>
      </c>
      <c r="D108" s="95">
        <f t="shared" si="18"/>
        <v>158630</v>
      </c>
      <c r="F108" s="13">
        <v>2033</v>
      </c>
      <c r="G108" s="95">
        <f>MROUND(((CentreBasedHeadcountEnrolmentsMedium[[#This Row],[Education &amp; Care]]*G$76)*G$70)*'[1]Source-fte_qualstus_x_servtype'!J40,5)</f>
        <v>6090</v>
      </c>
      <c r="H108" s="95">
        <f>MROUND(((CentreBasedHeadcountEnrolmentsMedium[[#This Row],[Education &amp; Care]]*G$77)*G$71)*'[1]Source-fte_qualstus_x_servtype'!J40,5)</f>
        <v>5210</v>
      </c>
      <c r="I108" s="95">
        <f>MROUND(((CentreBasedHeadcountEnrolmentsMedium[[#This Row],[Education &amp; Care]]*SUM(G$78:G$79))*G$72)*'[1]Source-fte_qualstus_x_servtype'!J40,5)</f>
        <v>10735</v>
      </c>
      <c r="J108" s="95">
        <f>MROUND(((CentreBasedHeadcountEnrolmentsMedium[[#This Row],[Kindergarten]]*H$76)*H$70)*'[1]Source-fte_qualstus_x_servtype'!J40,5)</f>
        <v>65</v>
      </c>
      <c r="K108" s="95">
        <f>MROUND(((CentreBasedHeadcountEnrolmentsMedium[[#This Row],[Kindergarten]]*H$77)*H$71)*'[1]Source-fte_qualstus_x_servtype'!J40,5)</f>
        <v>605</v>
      </c>
      <c r="L108" s="95">
        <f>MROUND(((CentreBasedHeadcountEnrolmentsMedium[[#This Row],[Kindergarten]]*SUM(H$78:H$79))*H$72)*'[1]Source-fte_qualstus_x_servtype'!J40,5)</f>
        <v>2825</v>
      </c>
      <c r="M108" s="95">
        <f t="shared" si="19"/>
        <v>25530</v>
      </c>
      <c r="O108" s="13">
        <v>2033</v>
      </c>
      <c r="P108" s="95">
        <f>MROUND(SUM(MediumScenarioCentreBasedFTEDemand[[#This Row],[Education &amp; Care (under 2s)]:[Education &amp; Care (3+)]])*L$64,5)</f>
        <v>14345</v>
      </c>
      <c r="Q108" s="95">
        <f>MROUND(SUM(MediumScenarioCentreBasedFTEDemand[[#This Row],[Kindergarten (Under 2s)]:[Kindergarten (3+)]])*M$64,5)</f>
        <v>3495</v>
      </c>
      <c r="R108" s="95">
        <f t="shared" si="20"/>
        <v>17840</v>
      </c>
      <c r="U108" s="13">
        <v>2033</v>
      </c>
      <c r="V108" s="95">
        <f>SUM(MediumScenarioCentreBasedFTEDemand[[#This Row],[Education &amp; Care (under 2s)]:[Education &amp; Care (3+)]])-MediumScenarioQualifiedFTE[[#This Row],[Education &amp; Care]]</f>
        <v>7690</v>
      </c>
    </row>
    <row r="109" spans="1:22" outlineLevel="1">
      <c r="A109" s="13">
        <v>2034</v>
      </c>
      <c r="B109" s="94">
        <f>MROUND(([1]T15!$S24*B$77),5)</f>
        <v>132455</v>
      </c>
      <c r="C109" s="94">
        <f>MROUND(([1]T15!$S24*C$77),5)</f>
        <v>26290</v>
      </c>
      <c r="D109" s="95">
        <f t="shared" si="18"/>
        <v>158745</v>
      </c>
      <c r="F109" s="13">
        <v>2034</v>
      </c>
      <c r="G109" s="95">
        <f>MROUND(((CentreBasedHeadcountEnrolmentsMedium[[#This Row],[Education &amp; Care]]*G$76)*G$70)*'[1]Source-fte_qualstus_x_servtype'!J41,5)</f>
        <v>6120</v>
      </c>
      <c r="H109" s="95">
        <f>MROUND(((CentreBasedHeadcountEnrolmentsMedium[[#This Row],[Education &amp; Care]]*G$77)*G$71)*'[1]Source-fte_qualstus_x_servtype'!J41,5)</f>
        <v>5235</v>
      </c>
      <c r="I109" s="95">
        <f>MROUND(((CentreBasedHeadcountEnrolmentsMedium[[#This Row],[Education &amp; Care]]*SUM(G$78:G$79))*G$72)*'[1]Source-fte_qualstus_x_servtype'!J41,5)</f>
        <v>10790</v>
      </c>
      <c r="J109" s="95">
        <f>MROUND(((CentreBasedHeadcountEnrolmentsMedium[[#This Row],[Kindergarten]]*H$76)*H$70)*'[1]Source-fte_qualstus_x_servtype'!J41,5)</f>
        <v>65</v>
      </c>
      <c r="K109" s="95">
        <f>MROUND(((CentreBasedHeadcountEnrolmentsMedium[[#This Row],[Kindergarten]]*H$77)*H$71)*'[1]Source-fte_qualstus_x_servtype'!J41,5)</f>
        <v>610</v>
      </c>
      <c r="L109" s="95">
        <f>MROUND(((CentreBasedHeadcountEnrolmentsMedium[[#This Row],[Kindergarten]]*SUM(H$78:H$79))*H$72)*'[1]Source-fte_qualstus_x_servtype'!J41,5)</f>
        <v>2840</v>
      </c>
      <c r="M109" s="95">
        <f t="shared" si="19"/>
        <v>25660</v>
      </c>
      <c r="O109" s="13">
        <v>2034</v>
      </c>
      <c r="P109" s="95">
        <f>MROUND(SUM(MediumScenarioCentreBasedFTEDemand[[#This Row],[Education &amp; Care (under 2s)]:[Education &amp; Care (3+)]])*L$64,5)</f>
        <v>14415</v>
      </c>
      <c r="Q109" s="95">
        <f>MROUND(SUM(MediumScenarioCentreBasedFTEDemand[[#This Row],[Kindergarten (Under 2s)]:[Kindergarten (3+)]])*M$64,5)</f>
        <v>3515</v>
      </c>
      <c r="R109" s="95">
        <f t="shared" si="20"/>
        <v>17930</v>
      </c>
      <c r="U109" s="13">
        <v>2034</v>
      </c>
      <c r="V109" s="95">
        <f>SUM(MediumScenarioCentreBasedFTEDemand[[#This Row],[Education &amp; Care (under 2s)]:[Education &amp; Care (3+)]])-MediumScenarioQualifiedFTE[[#This Row],[Education &amp; Care]]</f>
        <v>7730</v>
      </c>
    </row>
    <row r="110" spans="1:22" outlineLevel="1">
      <c r="A110" s="13">
        <v>2035</v>
      </c>
      <c r="B110" s="94">
        <f>MROUND(([1]T15!$S25*B$77),5)</f>
        <v>132640</v>
      </c>
      <c r="C110" s="94">
        <f>MROUND(([1]T15!$S25*C$77),5)</f>
        <v>26325</v>
      </c>
      <c r="D110" s="95">
        <f t="shared" si="18"/>
        <v>158965</v>
      </c>
      <c r="F110" s="13">
        <v>2035</v>
      </c>
      <c r="G110" s="95">
        <f>MROUND(((CentreBasedHeadcountEnrolmentsMedium[[#This Row],[Education &amp; Care]]*G$76)*G$70)*'[1]Source-fte_qualstus_x_servtype'!J42,5)</f>
        <v>6155</v>
      </c>
      <c r="H110" s="95">
        <f>MROUND(((CentreBasedHeadcountEnrolmentsMedium[[#This Row],[Education &amp; Care]]*G$77)*G$71)*'[1]Source-fte_qualstus_x_servtype'!J42,5)</f>
        <v>5265</v>
      </c>
      <c r="I110" s="95">
        <f>MROUND(((CentreBasedHeadcountEnrolmentsMedium[[#This Row],[Education &amp; Care]]*SUM(G$78:G$79))*G$72)*'[1]Source-fte_qualstus_x_servtype'!J42,5)</f>
        <v>10850</v>
      </c>
      <c r="J110" s="95">
        <f>MROUND(((CentreBasedHeadcountEnrolmentsMedium[[#This Row],[Kindergarten]]*H$76)*H$70)*'[1]Source-fte_qualstus_x_servtype'!J42,5)</f>
        <v>65</v>
      </c>
      <c r="K110" s="95">
        <f>MROUND(((CentreBasedHeadcountEnrolmentsMedium[[#This Row],[Kindergarten]]*H$77)*H$71)*'[1]Source-fte_qualstus_x_servtype'!J42,5)</f>
        <v>610</v>
      </c>
      <c r="L110" s="95">
        <f>MROUND(((CentreBasedHeadcountEnrolmentsMedium[[#This Row],[Kindergarten]]*SUM(H$78:H$79))*H$72)*'[1]Source-fte_qualstus_x_servtype'!J42,5)</f>
        <v>2855</v>
      </c>
      <c r="M110" s="95">
        <f t="shared" si="19"/>
        <v>25800</v>
      </c>
      <c r="O110" s="13">
        <v>2035</v>
      </c>
      <c r="P110" s="95">
        <f>MROUND(SUM(MediumScenarioCentreBasedFTEDemand[[#This Row],[Education &amp; Care (under 2s)]:[Education &amp; Care (3+)]])*L$64,5)</f>
        <v>14495</v>
      </c>
      <c r="Q110" s="95">
        <f>MROUND(SUM(MediumScenarioCentreBasedFTEDemand[[#This Row],[Kindergarten (Under 2s)]:[Kindergarten (3+)]])*M$64,5)</f>
        <v>3530</v>
      </c>
      <c r="R110" s="95">
        <f t="shared" si="20"/>
        <v>18025</v>
      </c>
      <c r="U110" s="13">
        <v>2035</v>
      </c>
      <c r="V110" s="95">
        <f>SUM(MediumScenarioCentreBasedFTEDemand[[#This Row],[Education &amp; Care (under 2s)]:[Education &amp; Care (3+)]])-MediumScenarioQualifiedFTE[[#This Row],[Education &amp; Care]]</f>
        <v>7775</v>
      </c>
    </row>
    <row r="112" spans="1:22" ht="41.45" customHeight="1">
      <c r="A112" s="40" t="s">
        <v>237</v>
      </c>
      <c r="F112" s="40" t="s">
        <v>238</v>
      </c>
      <c r="O112" s="132" t="s">
        <v>239</v>
      </c>
      <c r="P112" s="132"/>
      <c r="Q112" s="132"/>
      <c r="R112" s="132"/>
      <c r="U112" s="13" t="s">
        <v>240</v>
      </c>
    </row>
    <row r="113" spans="1:22" ht="29.1" outlineLevel="1">
      <c r="A113" s="13" t="s">
        <v>159</v>
      </c>
      <c r="B113" s="83" t="s">
        <v>160</v>
      </c>
      <c r="C113" s="83" t="s">
        <v>161</v>
      </c>
      <c r="D113" s="14" t="s">
        <v>225</v>
      </c>
      <c r="F113" s="13" t="s">
        <v>159</v>
      </c>
      <c r="G113" s="93" t="s">
        <v>226</v>
      </c>
      <c r="H113" s="93" t="s">
        <v>227</v>
      </c>
      <c r="I113" s="93" t="s">
        <v>228</v>
      </c>
      <c r="J113" s="93" t="s">
        <v>229</v>
      </c>
      <c r="K113" s="93" t="s">
        <v>230</v>
      </c>
      <c r="L113" s="93" t="s">
        <v>231</v>
      </c>
      <c r="M113" s="93" t="s">
        <v>232</v>
      </c>
      <c r="O113" s="13" t="s">
        <v>159</v>
      </c>
      <c r="P113" s="93" t="s">
        <v>160</v>
      </c>
      <c r="Q113" s="93" t="s">
        <v>161</v>
      </c>
      <c r="R113" s="93" t="s">
        <v>232</v>
      </c>
      <c r="U113" s="13" t="s">
        <v>159</v>
      </c>
      <c r="V113" s="93" t="s">
        <v>160</v>
      </c>
    </row>
    <row r="114" spans="1:22" outlineLevel="1">
      <c r="A114" s="13">
        <v>2025</v>
      </c>
      <c r="B114" s="94">
        <f>MROUND(([1]T15!$T15*B$77),5)</f>
        <v>141750</v>
      </c>
      <c r="C114" s="94">
        <f>MROUND(([1]T15!$T15*C$77),5)</f>
        <v>28135</v>
      </c>
      <c r="D114" s="95">
        <f t="shared" ref="D114:D124" si="21">SUM(B114:C114)</f>
        <v>169885</v>
      </c>
      <c r="F114" s="13">
        <v>2025</v>
      </c>
      <c r="G114" s="95">
        <f>MROUND(((CentreBasedHeadcountEnrolmentsHigh[[#This Row],[Education &amp; Care]]*G$76)*G$70)*'[1]Source-fte_qualstus_x_servtype'!J32,5)</f>
        <v>6300</v>
      </c>
      <c r="H114" s="95">
        <f>MROUND(((CentreBasedHeadcountEnrolmentsHigh[[#This Row],[Education &amp; Care]]*G$77)*G$71)*'[1]Source-fte_qualstus_x_servtype'!J32,5)</f>
        <v>5390</v>
      </c>
      <c r="I114" s="95">
        <f>MROUND(((CentreBasedHeadcountEnrolmentsHigh[[#This Row],[Education &amp; Care]]*SUM(G$78:G$79))*G$72)*'[1]Source-fte_qualstus_x_servtype'!J32,5)</f>
        <v>11100</v>
      </c>
      <c r="J114" s="95">
        <f>MROUND(((CentreBasedHeadcountEnrolmentsHigh[[#This Row],[Kindergarten]]*H$76)*H$70)*'[1]Source-fte_qualstus_x_servtype'!J32,5)</f>
        <v>65</v>
      </c>
      <c r="K114" s="95">
        <f>MROUND(((CentreBasedHeadcountEnrolmentsHigh[[#This Row],[Kindergarten]]*H$77)*H$71)*'[1]Source-fte_qualstus_x_servtype'!J32,5)</f>
        <v>625</v>
      </c>
      <c r="L114" s="95">
        <f>MROUND(((CentreBasedHeadcountEnrolmentsHigh[[#This Row],[Kindergarten]]*SUM(H$78:H$79))*H$72)*'[1]Source-fte_qualstus_x_servtype'!J32,5)</f>
        <v>2920</v>
      </c>
      <c r="M114" s="95">
        <f>SUM(G114:L114)</f>
        <v>26400</v>
      </c>
      <c r="O114" s="13">
        <v>2025</v>
      </c>
      <c r="P114" s="95">
        <f>MROUND(SUM(HighScenarioCentreBasedFTEDemand[[#This Row],[Education &amp; Care (under 2s)]:[Education &amp; Care (3+)]])*L$65,5)</f>
        <v>22790</v>
      </c>
      <c r="Q114" s="95">
        <f>MROUND(SUM(HighScenarioCentreBasedFTEDemand[[#This Row],[Kindergarten (Under 2s)]:[Kindergarten (3+)]])*M$63,5)</f>
        <v>3610</v>
      </c>
      <c r="R114" s="95">
        <f>SUM(P114:Q114)</f>
        <v>26400</v>
      </c>
      <c r="U114" s="13">
        <v>2025</v>
      </c>
      <c r="V114" s="95">
        <f>SUM(HighScenarioCentreBasedFTEDemand[[#This Row],[Education &amp; Care (under 2s)]:[Education &amp; Care (3+)]])-HighScenarioQualifiedFTE[[#This Row],[Education &amp; Care]]</f>
        <v>0</v>
      </c>
    </row>
    <row r="115" spans="1:22" outlineLevel="1">
      <c r="A115" s="13">
        <v>2026</v>
      </c>
      <c r="B115" s="94">
        <f>MROUND(([1]T15!$T16*B$77),5)</f>
        <v>139665</v>
      </c>
      <c r="C115" s="94">
        <f>MROUND(([1]T15!$T16*C$77),5)</f>
        <v>27720</v>
      </c>
      <c r="D115" s="95">
        <f t="shared" si="21"/>
        <v>167385</v>
      </c>
      <c r="F115" s="13">
        <v>2026</v>
      </c>
      <c r="G115" s="95">
        <f>MROUND(((CentreBasedHeadcountEnrolmentsHigh[[#This Row],[Education &amp; Care]]*G$76)*G$70)*'[1]Source-fte_qualstus_x_servtype'!J33,5)</f>
        <v>6235</v>
      </c>
      <c r="H115" s="95">
        <f>MROUND(((CentreBasedHeadcountEnrolmentsHigh[[#This Row],[Education &amp; Care]]*G$77)*G$71)*'[1]Source-fte_qualstus_x_servtype'!J33,5)</f>
        <v>5335</v>
      </c>
      <c r="I115" s="95">
        <f>MROUND(((CentreBasedHeadcountEnrolmentsHigh[[#This Row],[Education &amp; Care]]*SUM(G$78:G$79))*G$72)*'[1]Source-fte_qualstus_x_servtype'!J33,5)</f>
        <v>10985</v>
      </c>
      <c r="J115" s="95">
        <f>MROUND(((CentreBasedHeadcountEnrolmentsHigh[[#This Row],[Kindergarten]]*H$76)*H$70)*'[1]Source-fte_qualstus_x_servtype'!J33,5)</f>
        <v>65</v>
      </c>
      <c r="K115" s="95">
        <f>MROUND(((CentreBasedHeadcountEnrolmentsHigh[[#This Row],[Kindergarten]]*H$77)*H$71)*'[1]Source-fte_qualstus_x_servtype'!J33,5)</f>
        <v>620</v>
      </c>
      <c r="L115" s="95">
        <f>MROUND(((CentreBasedHeadcountEnrolmentsHigh[[#This Row],[Kindergarten]]*SUM(H$78:H$79))*H$72)*'[1]Source-fte_qualstus_x_servtype'!J33,5)</f>
        <v>2890</v>
      </c>
      <c r="M115" s="95">
        <f t="shared" ref="M115:M124" si="22">SUM(G115:L115)</f>
        <v>26130</v>
      </c>
      <c r="O115" s="13">
        <v>2026</v>
      </c>
      <c r="P115" s="95">
        <f>MROUND(SUM(HighScenarioCentreBasedFTEDemand[[#This Row],[Education &amp; Care (under 2s)]:[Education &amp; Care (3+)]])*L$65,5)</f>
        <v>22555</v>
      </c>
      <c r="Q115" s="95">
        <f>MROUND(SUM(HighScenarioCentreBasedFTEDemand[[#This Row],[Kindergarten (Under 2s)]:[Kindergarten (3+)]])*M$63,5)</f>
        <v>3575</v>
      </c>
      <c r="R115" s="95">
        <f t="shared" ref="R115:R124" si="23">SUM(P115:Q115)</f>
        <v>26130</v>
      </c>
      <c r="U115" s="13">
        <v>2026</v>
      </c>
      <c r="V115" s="95">
        <f>SUM(HighScenarioCentreBasedFTEDemand[[#This Row],[Education &amp; Care (under 2s)]:[Education &amp; Care (3+)]])-HighScenarioQualifiedFTE[[#This Row],[Education &amp; Care]]</f>
        <v>0</v>
      </c>
    </row>
    <row r="116" spans="1:22" outlineLevel="1">
      <c r="A116" s="13">
        <v>2027</v>
      </c>
      <c r="B116" s="94">
        <f>MROUND(([1]T15!$T17*B$77),5)</f>
        <v>138285</v>
      </c>
      <c r="C116" s="94">
        <f>MROUND(([1]T15!$T17*C$77),5)</f>
        <v>27445</v>
      </c>
      <c r="D116" s="95">
        <f t="shared" si="21"/>
        <v>165730</v>
      </c>
      <c r="F116" s="13">
        <v>2027</v>
      </c>
      <c r="G116" s="95">
        <f>MROUND(((CentreBasedHeadcountEnrolmentsHigh[[#This Row],[Education &amp; Care]]*G$76)*G$70)*'[1]Source-fte_qualstus_x_servtype'!J34,5)</f>
        <v>6200</v>
      </c>
      <c r="H116" s="95">
        <f>MROUND(((CentreBasedHeadcountEnrolmentsHigh[[#This Row],[Education &amp; Care]]*G$77)*G$71)*'[1]Source-fte_qualstus_x_servtype'!J34,5)</f>
        <v>5305</v>
      </c>
      <c r="I116" s="95">
        <f>MROUND(((CentreBasedHeadcountEnrolmentsHigh[[#This Row],[Education &amp; Care]]*SUM(G$78:G$79))*G$72)*'[1]Source-fte_qualstus_x_servtype'!J34,5)</f>
        <v>10925</v>
      </c>
      <c r="J116" s="95">
        <f>MROUND(((CentreBasedHeadcountEnrolmentsHigh[[#This Row],[Kindergarten]]*H$76)*H$70)*'[1]Source-fte_qualstus_x_servtype'!J34,5)</f>
        <v>65</v>
      </c>
      <c r="K116" s="95">
        <f>MROUND(((CentreBasedHeadcountEnrolmentsHigh[[#This Row],[Kindergarten]]*H$77)*H$71)*'[1]Source-fte_qualstus_x_servtype'!J34,5)</f>
        <v>615</v>
      </c>
      <c r="L116" s="95">
        <f>MROUND(((CentreBasedHeadcountEnrolmentsHigh[[#This Row],[Kindergarten]]*SUM(H$78:H$79))*H$72)*'[1]Source-fte_qualstus_x_servtype'!J34,5)</f>
        <v>2875</v>
      </c>
      <c r="M116" s="95">
        <f t="shared" si="22"/>
        <v>25985</v>
      </c>
      <c r="O116" s="13">
        <v>2027</v>
      </c>
      <c r="P116" s="95">
        <f>MROUND(SUM(HighScenarioCentreBasedFTEDemand[[#This Row],[Education &amp; Care (under 2s)]:[Education &amp; Care (3+)]])*L$65,5)</f>
        <v>22430</v>
      </c>
      <c r="Q116" s="95">
        <f>MROUND(SUM(HighScenarioCentreBasedFTEDemand[[#This Row],[Kindergarten (Under 2s)]:[Kindergarten (3+)]])*M$63,5)</f>
        <v>3555</v>
      </c>
      <c r="R116" s="95">
        <f t="shared" si="23"/>
        <v>25985</v>
      </c>
      <c r="U116" s="13">
        <v>2027</v>
      </c>
      <c r="V116" s="95">
        <f>SUM(HighScenarioCentreBasedFTEDemand[[#This Row],[Education &amp; Care (under 2s)]:[Education &amp; Care (3+)]])-HighScenarioQualifiedFTE[[#This Row],[Education &amp; Care]]</f>
        <v>0</v>
      </c>
    </row>
    <row r="117" spans="1:22" outlineLevel="1">
      <c r="A117" s="13">
        <v>2028</v>
      </c>
      <c r="B117" s="94">
        <f>MROUND(([1]T15!$T18*B$77),5)</f>
        <v>140255</v>
      </c>
      <c r="C117" s="94">
        <f>MROUND(([1]T15!$T18*C$77),5)</f>
        <v>27835</v>
      </c>
      <c r="D117" s="95">
        <f t="shared" si="21"/>
        <v>168090</v>
      </c>
      <c r="F117" s="13">
        <v>2028</v>
      </c>
      <c r="G117" s="95">
        <f>MROUND(((CentreBasedHeadcountEnrolmentsHigh[[#This Row],[Education &amp; Care]]*G$76)*G$70)*'[1]Source-fte_qualstus_x_servtype'!J35,5)</f>
        <v>6315</v>
      </c>
      <c r="H117" s="95">
        <f>MROUND(((CentreBasedHeadcountEnrolmentsHigh[[#This Row],[Education &amp; Care]]*G$77)*G$71)*'[1]Source-fte_qualstus_x_servtype'!J35,5)</f>
        <v>5405</v>
      </c>
      <c r="I117" s="95">
        <f>MROUND(((CentreBasedHeadcountEnrolmentsHigh[[#This Row],[Education &amp; Care]]*SUM(G$78:G$79))*G$72)*'[1]Source-fte_qualstus_x_servtype'!J35,5)</f>
        <v>11130</v>
      </c>
      <c r="J117" s="95">
        <f>MROUND(((CentreBasedHeadcountEnrolmentsHigh[[#This Row],[Kindergarten]]*H$76)*H$70)*'[1]Source-fte_qualstus_x_servtype'!J35,5)</f>
        <v>70</v>
      </c>
      <c r="K117" s="95">
        <f>MROUND(((CentreBasedHeadcountEnrolmentsHigh[[#This Row],[Kindergarten]]*H$77)*H$71)*'[1]Source-fte_qualstus_x_servtype'!J35,5)</f>
        <v>630</v>
      </c>
      <c r="L117" s="95">
        <f>MROUND(((CentreBasedHeadcountEnrolmentsHigh[[#This Row],[Kindergarten]]*SUM(H$78:H$79))*H$72)*'[1]Source-fte_qualstus_x_servtype'!J35,5)</f>
        <v>2930</v>
      </c>
      <c r="M117" s="95">
        <f t="shared" si="22"/>
        <v>26480</v>
      </c>
      <c r="O117" s="13">
        <v>2028</v>
      </c>
      <c r="P117" s="95">
        <f>MROUND(SUM(HighScenarioCentreBasedFTEDemand[[#This Row],[Education &amp; Care (under 2s)]:[Education &amp; Care (3+)]])*L$65,5)</f>
        <v>22850</v>
      </c>
      <c r="Q117" s="95">
        <f>MROUND(SUM(HighScenarioCentreBasedFTEDemand[[#This Row],[Kindergarten (Under 2s)]:[Kindergarten (3+)]])*M$63,5)</f>
        <v>3630</v>
      </c>
      <c r="R117" s="95">
        <f t="shared" si="23"/>
        <v>26480</v>
      </c>
      <c r="U117" s="13">
        <v>2028</v>
      </c>
      <c r="V117" s="95">
        <f>SUM(HighScenarioCentreBasedFTEDemand[[#This Row],[Education &amp; Care (under 2s)]:[Education &amp; Care (3+)]])-HighScenarioQualifiedFTE[[#This Row],[Education &amp; Care]]</f>
        <v>0</v>
      </c>
    </row>
    <row r="118" spans="1:22" outlineLevel="1">
      <c r="A118" s="13">
        <v>2029</v>
      </c>
      <c r="B118" s="94">
        <f>MROUND(([1]T15!$T19*B$77),5)</f>
        <v>142570</v>
      </c>
      <c r="C118" s="94">
        <f>MROUND(([1]T15!$T19*C$77),5)</f>
        <v>28295</v>
      </c>
      <c r="D118" s="95">
        <f t="shared" si="21"/>
        <v>170865</v>
      </c>
      <c r="F118" s="13">
        <v>2029</v>
      </c>
      <c r="G118" s="95">
        <f>MROUND(((CentreBasedHeadcountEnrolmentsHigh[[#This Row],[Education &amp; Care]]*G$76)*G$70)*'[1]Source-fte_qualstus_x_servtype'!J36,5)</f>
        <v>6450</v>
      </c>
      <c r="H118" s="95">
        <f>MROUND(((CentreBasedHeadcountEnrolmentsHigh[[#This Row],[Education &amp; Care]]*G$77)*G$71)*'[1]Source-fte_qualstus_x_servtype'!J36,5)</f>
        <v>5515</v>
      </c>
      <c r="I118" s="95">
        <f>MROUND(((CentreBasedHeadcountEnrolmentsHigh[[#This Row],[Education &amp; Care]]*SUM(G$78:G$79))*G$72)*'[1]Source-fte_qualstus_x_servtype'!J36,5)</f>
        <v>11360</v>
      </c>
      <c r="J118" s="95">
        <f>MROUND(((CentreBasedHeadcountEnrolmentsHigh[[#This Row],[Kindergarten]]*H$76)*H$70)*'[1]Source-fte_qualstus_x_servtype'!J36,5)</f>
        <v>70</v>
      </c>
      <c r="K118" s="95">
        <f>MROUND(((CentreBasedHeadcountEnrolmentsHigh[[#This Row],[Kindergarten]]*H$77)*H$71)*'[1]Source-fte_qualstus_x_servtype'!J36,5)</f>
        <v>640</v>
      </c>
      <c r="L118" s="95">
        <f>MROUND(((CentreBasedHeadcountEnrolmentsHigh[[#This Row],[Kindergarten]]*SUM(H$78:H$79))*H$72)*'[1]Source-fte_qualstus_x_servtype'!J36,5)</f>
        <v>2990</v>
      </c>
      <c r="M118" s="95">
        <f t="shared" si="22"/>
        <v>27025</v>
      </c>
      <c r="O118" s="13">
        <v>2029</v>
      </c>
      <c r="P118" s="95">
        <f>MROUND(SUM(HighScenarioCentreBasedFTEDemand[[#This Row],[Education &amp; Care (under 2s)]:[Education &amp; Care (3+)]])*L$65,5)</f>
        <v>23325</v>
      </c>
      <c r="Q118" s="95">
        <f>MROUND(SUM(HighScenarioCentreBasedFTEDemand[[#This Row],[Kindergarten (Under 2s)]:[Kindergarten (3+)]])*M$63,5)</f>
        <v>3700</v>
      </c>
      <c r="R118" s="95">
        <f t="shared" si="23"/>
        <v>27025</v>
      </c>
      <c r="U118" s="13">
        <v>2029</v>
      </c>
      <c r="V118" s="95">
        <f>SUM(HighScenarioCentreBasedFTEDemand[[#This Row],[Education &amp; Care (under 2s)]:[Education &amp; Care (3+)]])-HighScenarioQualifiedFTE[[#This Row],[Education &amp; Care]]</f>
        <v>0</v>
      </c>
    </row>
    <row r="119" spans="1:22" outlineLevel="1">
      <c r="A119" s="13">
        <v>2030</v>
      </c>
      <c r="B119" s="94">
        <f>MROUND(([1]T15!$T20*B$77),5)</f>
        <v>143870</v>
      </c>
      <c r="C119" s="94">
        <f>MROUND(([1]T15!$T20*C$77),5)</f>
        <v>28555</v>
      </c>
      <c r="D119" s="95">
        <f t="shared" si="21"/>
        <v>172425</v>
      </c>
      <c r="F119" s="13">
        <v>2030</v>
      </c>
      <c r="G119" s="95">
        <f>MROUND(((CentreBasedHeadcountEnrolmentsHigh[[#This Row],[Education &amp; Care]]*G$76)*G$70)*'[1]Source-fte_qualstus_x_servtype'!J37,5)</f>
        <v>6535</v>
      </c>
      <c r="H119" s="95">
        <f>MROUND(((CentreBasedHeadcountEnrolmentsHigh[[#This Row],[Education &amp; Care]]*G$77)*G$71)*'[1]Source-fte_qualstus_x_servtype'!J37,5)</f>
        <v>5590</v>
      </c>
      <c r="I119" s="95">
        <f>MROUND(((CentreBasedHeadcountEnrolmentsHigh[[#This Row],[Education &amp; Care]]*SUM(G$78:G$79))*G$72)*'[1]Source-fte_qualstus_x_servtype'!J37,5)</f>
        <v>11515</v>
      </c>
      <c r="J119" s="95">
        <f>MROUND(((CentreBasedHeadcountEnrolmentsHigh[[#This Row],[Kindergarten]]*H$76)*H$70)*'[1]Source-fte_qualstus_x_servtype'!J37,5)</f>
        <v>70</v>
      </c>
      <c r="K119" s="95">
        <f>MROUND(((CentreBasedHeadcountEnrolmentsHigh[[#This Row],[Kindergarten]]*H$77)*H$71)*'[1]Source-fte_qualstus_x_servtype'!J37,5)</f>
        <v>650</v>
      </c>
      <c r="L119" s="95">
        <f>MROUND(((CentreBasedHeadcountEnrolmentsHigh[[#This Row],[Kindergarten]]*SUM(H$78:H$79))*H$72)*'[1]Source-fte_qualstus_x_servtype'!J37,5)</f>
        <v>3030</v>
      </c>
      <c r="M119" s="95">
        <f t="shared" si="22"/>
        <v>27390</v>
      </c>
      <c r="O119" s="13">
        <v>2030</v>
      </c>
      <c r="P119" s="95">
        <f>MROUND(SUM(HighScenarioCentreBasedFTEDemand[[#This Row],[Education &amp; Care (under 2s)]:[Education &amp; Care (3+)]])*L$65,5)</f>
        <v>23640</v>
      </c>
      <c r="Q119" s="95">
        <f>MROUND(SUM(HighScenarioCentreBasedFTEDemand[[#This Row],[Kindergarten (Under 2s)]:[Kindergarten (3+)]])*M$63,5)</f>
        <v>3750</v>
      </c>
      <c r="R119" s="95">
        <f t="shared" si="23"/>
        <v>27390</v>
      </c>
      <c r="U119" s="13">
        <v>2030</v>
      </c>
      <c r="V119" s="95">
        <f>SUM(HighScenarioCentreBasedFTEDemand[[#This Row],[Education &amp; Care (under 2s)]:[Education &amp; Care (3+)]])-HighScenarioQualifiedFTE[[#This Row],[Education &amp; Care]]</f>
        <v>0</v>
      </c>
    </row>
    <row r="120" spans="1:22" outlineLevel="1">
      <c r="A120" s="13">
        <v>2031</v>
      </c>
      <c r="B120" s="94">
        <f>MROUND(([1]T15!$T21*B$77),5)</f>
        <v>144680</v>
      </c>
      <c r="C120" s="94">
        <f>MROUND(([1]T15!$T21*C$77),5)</f>
        <v>28715</v>
      </c>
      <c r="D120" s="95">
        <f t="shared" si="21"/>
        <v>173395</v>
      </c>
      <c r="F120" s="13">
        <v>2031</v>
      </c>
      <c r="G120" s="95">
        <f>MROUND(((CentreBasedHeadcountEnrolmentsHigh[[#This Row],[Education &amp; Care]]*G$76)*G$70)*'[1]Source-fte_qualstus_x_servtype'!J38,5)</f>
        <v>6600</v>
      </c>
      <c r="H120" s="95">
        <f>MROUND(((CentreBasedHeadcountEnrolmentsHigh[[#This Row],[Education &amp; Care]]*G$77)*G$71)*'[1]Source-fte_qualstus_x_servtype'!J38,5)</f>
        <v>5645</v>
      </c>
      <c r="I120" s="95">
        <f>MROUND(((CentreBasedHeadcountEnrolmentsHigh[[#This Row],[Education &amp; Care]]*SUM(G$78:G$79))*G$72)*'[1]Source-fte_qualstus_x_servtype'!J38,5)</f>
        <v>11630</v>
      </c>
      <c r="J120" s="95">
        <f>MROUND(((CentreBasedHeadcountEnrolmentsHigh[[#This Row],[Kindergarten]]*H$76)*H$70)*'[1]Source-fte_qualstus_x_servtype'!J38,5)</f>
        <v>70</v>
      </c>
      <c r="K120" s="95">
        <f>MROUND(((CentreBasedHeadcountEnrolmentsHigh[[#This Row],[Kindergarten]]*H$77)*H$71)*'[1]Source-fte_qualstus_x_servtype'!J38,5)</f>
        <v>655</v>
      </c>
      <c r="L120" s="95">
        <f>MROUND(((CentreBasedHeadcountEnrolmentsHigh[[#This Row],[Kindergarten]]*SUM(H$78:H$79))*H$72)*'[1]Source-fte_qualstus_x_servtype'!J38,5)</f>
        <v>3060</v>
      </c>
      <c r="M120" s="95">
        <f t="shared" si="22"/>
        <v>27660</v>
      </c>
      <c r="O120" s="13">
        <v>2031</v>
      </c>
      <c r="P120" s="95">
        <f>MROUND(SUM(HighScenarioCentreBasedFTEDemand[[#This Row],[Education &amp; Care (under 2s)]:[Education &amp; Care (3+)]])*L$65,5)</f>
        <v>23875</v>
      </c>
      <c r="Q120" s="95">
        <f>MROUND(SUM(HighScenarioCentreBasedFTEDemand[[#This Row],[Kindergarten (Under 2s)]:[Kindergarten (3+)]])*M$63,5)</f>
        <v>3785</v>
      </c>
      <c r="R120" s="95">
        <f t="shared" si="23"/>
        <v>27660</v>
      </c>
      <c r="U120" s="13">
        <v>2031</v>
      </c>
      <c r="V120" s="95">
        <f>SUM(HighScenarioCentreBasedFTEDemand[[#This Row],[Education &amp; Care (under 2s)]:[Education &amp; Care (3+)]])-HighScenarioQualifiedFTE[[#This Row],[Education &amp; Care]]</f>
        <v>0</v>
      </c>
    </row>
    <row r="121" spans="1:22" outlineLevel="1">
      <c r="A121" s="13">
        <v>2032</v>
      </c>
      <c r="B121" s="94">
        <f>MROUND(([1]T15!$T22*B$77),5)</f>
        <v>145630</v>
      </c>
      <c r="C121" s="94">
        <f>MROUND(([1]T15!$T22*C$77),5)</f>
        <v>28905</v>
      </c>
      <c r="D121" s="95">
        <f t="shared" si="21"/>
        <v>174535</v>
      </c>
      <c r="F121" s="13">
        <v>2032</v>
      </c>
      <c r="G121" s="95">
        <f>MROUND(((CentreBasedHeadcountEnrolmentsHigh[[#This Row],[Education &amp; Care]]*G$76)*G$70)*'[1]Source-fte_qualstus_x_servtype'!J39,5)</f>
        <v>6675</v>
      </c>
      <c r="H121" s="95">
        <f>MROUND(((CentreBasedHeadcountEnrolmentsHigh[[#This Row],[Education &amp; Care]]*G$77)*G$71)*'[1]Source-fte_qualstus_x_servtype'!J39,5)</f>
        <v>5710</v>
      </c>
      <c r="I121" s="95">
        <f>MROUND(((CentreBasedHeadcountEnrolmentsHigh[[#This Row],[Education &amp; Care]]*SUM(G$78:G$79))*G$72)*'[1]Source-fte_qualstus_x_servtype'!J39,5)</f>
        <v>11760</v>
      </c>
      <c r="J121" s="95">
        <f>MROUND(((CentreBasedHeadcountEnrolmentsHigh[[#This Row],[Kindergarten]]*H$76)*H$70)*'[1]Source-fte_qualstus_x_servtype'!J39,5)</f>
        <v>70</v>
      </c>
      <c r="K121" s="95">
        <f>MROUND(((CentreBasedHeadcountEnrolmentsHigh[[#This Row],[Kindergarten]]*H$77)*H$71)*'[1]Source-fte_qualstus_x_servtype'!J39,5)</f>
        <v>665</v>
      </c>
      <c r="L121" s="95">
        <f>MROUND(((CentreBasedHeadcountEnrolmentsHigh[[#This Row],[Kindergarten]]*SUM(H$78:H$79))*H$72)*'[1]Source-fte_qualstus_x_servtype'!J39,5)</f>
        <v>3095</v>
      </c>
      <c r="M121" s="95">
        <f t="shared" si="22"/>
        <v>27975</v>
      </c>
      <c r="O121" s="13">
        <v>2032</v>
      </c>
      <c r="P121" s="95">
        <f>MROUND(SUM(HighScenarioCentreBasedFTEDemand[[#This Row],[Education &amp; Care (under 2s)]:[Education &amp; Care (3+)]])*L$65,5)</f>
        <v>24145</v>
      </c>
      <c r="Q121" s="95">
        <f>MROUND(SUM(HighScenarioCentreBasedFTEDemand[[#This Row],[Kindergarten (Under 2s)]:[Kindergarten (3+)]])*M$63,5)</f>
        <v>3830</v>
      </c>
      <c r="R121" s="95">
        <f t="shared" si="23"/>
        <v>27975</v>
      </c>
      <c r="U121" s="13">
        <v>2032</v>
      </c>
      <c r="V121" s="95">
        <f>SUM(HighScenarioCentreBasedFTEDemand[[#This Row],[Education &amp; Care (under 2s)]:[Education &amp; Care (3+)]])-HighScenarioQualifiedFTE[[#This Row],[Education &amp; Care]]</f>
        <v>0</v>
      </c>
    </row>
    <row r="122" spans="1:22" outlineLevel="1">
      <c r="A122" s="13">
        <v>2033</v>
      </c>
      <c r="B122" s="94">
        <f>MROUND(([1]T15!$T23*B$77),5)</f>
        <v>146470</v>
      </c>
      <c r="C122" s="94">
        <f>MROUND(([1]T15!$T23*C$77),5)</f>
        <v>29070</v>
      </c>
      <c r="D122" s="95">
        <f t="shared" si="21"/>
        <v>175540</v>
      </c>
      <c r="F122" s="13">
        <v>2033</v>
      </c>
      <c r="G122" s="95">
        <f>MROUND(((CentreBasedHeadcountEnrolmentsHigh[[#This Row],[Education &amp; Care]]*G$76)*G$70)*'[1]Source-fte_qualstus_x_servtype'!J40,5)</f>
        <v>6740</v>
      </c>
      <c r="H122" s="95">
        <f>MROUND(((CentreBasedHeadcountEnrolmentsHigh[[#This Row],[Education &amp; Care]]*G$77)*G$71)*'[1]Source-fte_qualstus_x_servtype'!J40,5)</f>
        <v>5765</v>
      </c>
      <c r="I122" s="95">
        <f>MROUND(((CentreBasedHeadcountEnrolmentsHigh[[#This Row],[Education &amp; Care]]*SUM(G$78:G$79))*G$72)*'[1]Source-fte_qualstus_x_servtype'!J40,5)</f>
        <v>11880</v>
      </c>
      <c r="J122" s="95">
        <f>MROUND(((CentreBasedHeadcountEnrolmentsHigh[[#This Row],[Kindergarten]]*H$76)*H$70)*'[1]Source-fte_qualstus_x_servtype'!J40,5)</f>
        <v>70</v>
      </c>
      <c r="K122" s="95">
        <f>MROUND(((CentreBasedHeadcountEnrolmentsHigh[[#This Row],[Kindergarten]]*H$77)*H$71)*'[1]Source-fte_qualstus_x_servtype'!J40,5)</f>
        <v>670</v>
      </c>
      <c r="L122" s="95">
        <f>MROUND(((CentreBasedHeadcountEnrolmentsHigh[[#This Row],[Kindergarten]]*SUM(H$78:H$79))*H$72)*'[1]Source-fte_qualstus_x_servtype'!J40,5)</f>
        <v>3125</v>
      </c>
      <c r="M122" s="95">
        <f t="shared" si="22"/>
        <v>28250</v>
      </c>
      <c r="O122" s="13">
        <v>2033</v>
      </c>
      <c r="P122" s="95">
        <f>MROUND(SUM(HighScenarioCentreBasedFTEDemand[[#This Row],[Education &amp; Care (under 2s)]:[Education &amp; Care (3+)]])*L$65,5)</f>
        <v>24385</v>
      </c>
      <c r="Q122" s="95">
        <f>MROUND(SUM(HighScenarioCentreBasedFTEDemand[[#This Row],[Kindergarten (Under 2s)]:[Kindergarten (3+)]])*M$63,5)</f>
        <v>3865</v>
      </c>
      <c r="R122" s="95">
        <f t="shared" si="23"/>
        <v>28250</v>
      </c>
      <c r="U122" s="13">
        <v>2033</v>
      </c>
      <c r="V122" s="95">
        <f>SUM(HighScenarioCentreBasedFTEDemand[[#This Row],[Education &amp; Care (under 2s)]:[Education &amp; Care (3+)]])-HighScenarioQualifiedFTE[[#This Row],[Education &amp; Care]]</f>
        <v>0</v>
      </c>
    </row>
    <row r="123" spans="1:22" outlineLevel="1">
      <c r="A123" s="13">
        <v>2034</v>
      </c>
      <c r="B123" s="94">
        <f>MROUND(([1]T15!$T24*B$77),5)</f>
        <v>147195</v>
      </c>
      <c r="C123" s="94">
        <f>MROUND(([1]T15!$T24*C$77),5)</f>
        <v>29215</v>
      </c>
      <c r="D123" s="95">
        <f t="shared" si="21"/>
        <v>176410</v>
      </c>
      <c r="F123" s="13">
        <v>2034</v>
      </c>
      <c r="G123" s="95">
        <f>MROUND(((CentreBasedHeadcountEnrolmentsHigh[[#This Row],[Education &amp; Care]]*G$76)*G$70)*'[1]Source-fte_qualstus_x_servtype'!J41,5)</f>
        <v>6805</v>
      </c>
      <c r="H123" s="95">
        <f>MROUND(((CentreBasedHeadcountEnrolmentsHigh[[#This Row],[Education &amp; Care]]*G$77)*G$71)*'[1]Source-fte_qualstus_x_servtype'!J41,5)</f>
        <v>5820</v>
      </c>
      <c r="I123" s="95">
        <f>MROUND(((CentreBasedHeadcountEnrolmentsHigh[[#This Row],[Education &amp; Care]]*SUM(G$78:G$79))*G$72)*'[1]Source-fte_qualstus_x_servtype'!J41,5)</f>
        <v>11990</v>
      </c>
      <c r="J123" s="95">
        <f>MROUND(((CentreBasedHeadcountEnrolmentsHigh[[#This Row],[Kindergarten]]*H$76)*H$70)*'[1]Source-fte_qualstus_x_servtype'!J41,5)</f>
        <v>75</v>
      </c>
      <c r="K123" s="95">
        <f>MROUND(((CentreBasedHeadcountEnrolmentsHigh[[#This Row],[Kindergarten]]*H$77)*H$71)*'[1]Source-fte_qualstus_x_servtype'!J41,5)</f>
        <v>675</v>
      </c>
      <c r="L123" s="95">
        <f>MROUND(((CentreBasedHeadcountEnrolmentsHigh[[#This Row],[Kindergarten]]*SUM(H$78:H$79))*H$72)*'[1]Source-fte_qualstus_x_servtype'!J41,5)</f>
        <v>3155</v>
      </c>
      <c r="M123" s="95">
        <f t="shared" si="22"/>
        <v>28520</v>
      </c>
      <c r="O123" s="13">
        <v>2034</v>
      </c>
      <c r="P123" s="95">
        <f>MROUND(SUM(HighScenarioCentreBasedFTEDemand[[#This Row],[Education &amp; Care (under 2s)]:[Education &amp; Care (3+)]])*L$65,5)</f>
        <v>24615</v>
      </c>
      <c r="Q123" s="95">
        <f>MROUND(SUM(HighScenarioCentreBasedFTEDemand[[#This Row],[Kindergarten (Under 2s)]:[Kindergarten (3+)]])*M$63,5)</f>
        <v>3905</v>
      </c>
      <c r="R123" s="95">
        <f t="shared" si="23"/>
        <v>28520</v>
      </c>
      <c r="U123" s="13">
        <v>2034</v>
      </c>
      <c r="V123" s="95">
        <f>SUM(HighScenarioCentreBasedFTEDemand[[#This Row],[Education &amp; Care (under 2s)]:[Education &amp; Care (3+)]])-HighScenarioQualifiedFTE[[#This Row],[Education &amp; Care]]</f>
        <v>0</v>
      </c>
    </row>
    <row r="124" spans="1:22" outlineLevel="1">
      <c r="A124" s="13">
        <v>2035</v>
      </c>
      <c r="B124" s="94">
        <f>MROUND(([1]T15!$T25*B$77),5)</f>
        <v>147935</v>
      </c>
      <c r="C124" s="94">
        <f>MROUND(([1]T15!$T25*C$77),5)</f>
        <v>29360</v>
      </c>
      <c r="D124" s="95">
        <f t="shared" si="21"/>
        <v>177295</v>
      </c>
      <c r="F124" s="13">
        <v>2035</v>
      </c>
      <c r="G124" s="95">
        <f>MROUND(((CentreBasedHeadcountEnrolmentsHigh[[#This Row],[Education &amp; Care]]*G$76)*G$70)*'[1]Source-fte_qualstus_x_servtype'!J42,5)</f>
        <v>6865</v>
      </c>
      <c r="H124" s="95">
        <f>MROUND(((CentreBasedHeadcountEnrolmentsHigh[[#This Row],[Education &amp; Care]]*G$77)*G$71)*'[1]Source-fte_qualstus_x_servtype'!J42,5)</f>
        <v>5875</v>
      </c>
      <c r="I124" s="95">
        <f>MROUND(((CentreBasedHeadcountEnrolmentsHigh[[#This Row],[Education &amp; Care]]*SUM(G$78:G$79))*G$72)*'[1]Source-fte_qualstus_x_servtype'!J42,5)</f>
        <v>12100</v>
      </c>
      <c r="J124" s="95">
        <f>MROUND(((CentreBasedHeadcountEnrolmentsHigh[[#This Row],[Kindergarten]]*H$76)*H$70)*'[1]Source-fte_qualstus_x_servtype'!J42,5)</f>
        <v>75</v>
      </c>
      <c r="K124" s="95">
        <f>MROUND(((CentreBasedHeadcountEnrolmentsHigh[[#This Row],[Kindergarten]]*H$77)*H$71)*'[1]Source-fte_qualstus_x_servtype'!J42,5)</f>
        <v>685</v>
      </c>
      <c r="L124" s="95">
        <f>MROUND(((CentreBasedHeadcountEnrolmentsHigh[[#This Row],[Kindergarten]]*SUM(H$78:H$79))*H$72)*'[1]Source-fte_qualstus_x_servtype'!J42,5)</f>
        <v>3185</v>
      </c>
      <c r="M124" s="95">
        <f t="shared" si="22"/>
        <v>28785</v>
      </c>
      <c r="O124" s="13">
        <v>2035</v>
      </c>
      <c r="P124" s="95">
        <f>MROUND(SUM(HighScenarioCentreBasedFTEDemand[[#This Row],[Education &amp; Care (under 2s)]:[Education &amp; Care (3+)]])*L$65,5)</f>
        <v>24840</v>
      </c>
      <c r="Q124" s="95">
        <f>MROUND(SUM(HighScenarioCentreBasedFTEDemand[[#This Row],[Kindergarten (Under 2s)]:[Kindergarten (3+)]])*M$63,5)</f>
        <v>3945</v>
      </c>
      <c r="R124" s="95">
        <f t="shared" si="23"/>
        <v>28785</v>
      </c>
      <c r="U124" s="13">
        <v>2035</v>
      </c>
      <c r="V124" s="95">
        <f>SUM(HighScenarioCentreBasedFTEDemand[[#This Row],[Education &amp; Care (under 2s)]:[Education &amp; Care (3+)]])-HighScenarioQualifiedFTE[[#This Row],[Education &amp; Care]]</f>
        <v>0</v>
      </c>
    </row>
    <row r="126" spans="1:22">
      <c r="A126" s="40" t="s">
        <v>241</v>
      </c>
    </row>
    <row r="127" spans="1:22" ht="29.1">
      <c r="A127" s="13" t="s">
        <v>159</v>
      </c>
      <c r="B127" s="81" t="s">
        <v>160</v>
      </c>
      <c r="C127" s="81" t="s">
        <v>161</v>
      </c>
      <c r="D127" s="81" t="s">
        <v>225</v>
      </c>
      <c r="F127" s="13" t="s">
        <v>159</v>
      </c>
      <c r="G127" s="93" t="s">
        <v>226</v>
      </c>
      <c r="H127" s="93" t="s">
        <v>227</v>
      </c>
      <c r="I127" s="93" t="s">
        <v>228</v>
      </c>
      <c r="J127" s="93" t="s">
        <v>229</v>
      </c>
      <c r="K127" s="93" t="s">
        <v>230</v>
      </c>
      <c r="L127" s="93" t="s">
        <v>231</v>
      </c>
      <c r="M127" s="93" t="s">
        <v>232</v>
      </c>
      <c r="O127" s="13" t="s">
        <v>159</v>
      </c>
      <c r="P127" s="93" t="s">
        <v>160</v>
      </c>
      <c r="Q127" s="93" t="s">
        <v>161</v>
      </c>
      <c r="R127" s="93" t="s">
        <v>232</v>
      </c>
    </row>
    <row r="128" spans="1:22">
      <c r="A128" s="13">
        <v>2025</v>
      </c>
      <c r="B128" s="94">
        <v>138890</v>
      </c>
      <c r="C128" s="94">
        <v>27565</v>
      </c>
      <c r="D128" s="95">
        <v>166455</v>
      </c>
      <c r="F128" s="13">
        <v>2025</v>
      </c>
      <c r="G128" s="95">
        <f>MROUND(((ComplianceScenarioEnrolments[[#This Row],[Education &amp; Care]]*G$76)*G$70)*'[1]Source-fte_qualstus_x_servtype'!J31,5)</f>
        <v>6145</v>
      </c>
      <c r="H128" s="95">
        <f>MROUND(((ComplianceScenarioEnrolments[[#This Row],[Education &amp; Care]]*G$77)*G$71)*'[1]Source-fte_qualstus_x_servtype'!J31,5)</f>
        <v>5255</v>
      </c>
      <c r="I128" s="95">
        <f>MROUND(((ComplianceScenarioEnrolments[[#This Row],[Education &amp; Care]]*SUM(G$78:G$79))*G$72)*'[1]Source-fte_qualstus_x_servtype'!J31,5)</f>
        <v>10825</v>
      </c>
      <c r="J128" s="95">
        <f>MROUND(((ComplianceScenarioEnrolments[[#This Row],[Kindergarten]]*H$76)*H$70)*'[1]Source-fte_qualstus_x_servtype'!J31,5)</f>
        <v>65</v>
      </c>
      <c r="K128" s="95">
        <f>MROUND(((ComplianceScenarioEnrolments[[#This Row],[Kindergarten]]*H$77)*H$71)*'[1]Source-fte_qualstus_x_servtype'!J31,5)</f>
        <v>610</v>
      </c>
      <c r="L128" s="95">
        <f>MROUND(((ComplianceScenarioEnrolments[[#This Row],[Kindergarten]]*SUM(H$78:H$79))*H$72)*'[1]Source-fte_qualstus_x_servtype'!J31,5)</f>
        <v>2850</v>
      </c>
      <c r="M128" s="95">
        <f>SUM(G128:L128)</f>
        <v>25750</v>
      </c>
      <c r="O128" s="13">
        <v>2025</v>
      </c>
      <c r="P128" s="95">
        <f>SUM(HighScenarioCentreBasedFTEDemand12[[#This Row],[Education &amp; Care (2s)]:[Kindergarten (Under 2s)]])</f>
        <v>16145</v>
      </c>
      <c r="Q128" s="95">
        <f>SUM(HighScenarioCentreBasedFTEDemand12[[#This Row],[Kindergarten (Under 2s)]:[Kindergarten (3+)]])</f>
        <v>3525</v>
      </c>
      <c r="R128" s="95">
        <f>SUM(P128:Q128)</f>
        <v>19670</v>
      </c>
    </row>
    <row r="129" spans="1:18">
      <c r="A129" s="13">
        <v>2026</v>
      </c>
      <c r="B129" s="94">
        <v>136050</v>
      </c>
      <c r="C129" s="94">
        <v>27000</v>
      </c>
      <c r="D129" s="95">
        <v>163050</v>
      </c>
      <c r="F129" s="13">
        <v>2026</v>
      </c>
      <c r="G129" s="95">
        <f>MROUND(((ComplianceScenarioEnrolments[[#This Row],[Education &amp; Care]]*G$76)*G$70)*'[1]Source-fte_qualstus_x_servtype'!J32,5)</f>
        <v>6045</v>
      </c>
      <c r="H129" s="95">
        <f>MROUND(((ComplianceScenarioEnrolments[[#This Row],[Education &amp; Care]]*G$77)*G$71)*'[1]Source-fte_qualstus_x_servtype'!J32,5)</f>
        <v>5170</v>
      </c>
      <c r="I129" s="95">
        <f>MROUND(((ComplianceScenarioEnrolments[[#This Row],[Education &amp; Care]]*SUM(G$78:G$79))*G$72)*'[1]Source-fte_qualstus_x_servtype'!J32,5)</f>
        <v>10655</v>
      </c>
      <c r="J129" s="95">
        <f>MROUND(((ComplianceScenarioEnrolments[[#This Row],[Kindergarten]]*H$76)*H$70)*'[1]Source-fte_qualstus_x_servtype'!J32,5)</f>
        <v>65</v>
      </c>
      <c r="K129" s="95">
        <f>MROUND(((ComplianceScenarioEnrolments[[#This Row],[Kindergarten]]*H$77)*H$71)*'[1]Source-fte_qualstus_x_servtype'!J32,5)</f>
        <v>600</v>
      </c>
      <c r="L129" s="95">
        <f>MROUND(((ComplianceScenarioEnrolments[[#This Row],[Kindergarten]]*SUM(H$78:H$79))*H$72)*'[1]Source-fte_qualstus_x_servtype'!J32,5)</f>
        <v>2805</v>
      </c>
      <c r="M129" s="95">
        <f t="shared" ref="M129:M138" si="24">SUM(G129:L129)</f>
        <v>25340</v>
      </c>
      <c r="O129" s="13">
        <v>2026</v>
      </c>
      <c r="P129" s="95">
        <f>SUM(HighScenarioCentreBasedFTEDemand12[[#This Row],[Education &amp; Care (2s)]:[Kindergarten (Under 2s)]])</f>
        <v>15890</v>
      </c>
      <c r="Q129" s="95">
        <f>SUM(HighScenarioCentreBasedFTEDemand12[[#This Row],[Kindergarten (Under 2s)]:[Kindergarten (3+)]])</f>
        <v>3470</v>
      </c>
      <c r="R129" s="95">
        <f t="shared" ref="R129:R138" si="25">SUM(P129:Q129)</f>
        <v>19360</v>
      </c>
    </row>
    <row r="130" spans="1:18">
      <c r="A130" s="13">
        <v>2027</v>
      </c>
      <c r="B130" s="94">
        <v>133650</v>
      </c>
      <c r="C130" s="94">
        <v>26525</v>
      </c>
      <c r="D130" s="95">
        <v>160175</v>
      </c>
      <c r="F130" s="13">
        <v>2027</v>
      </c>
      <c r="G130" s="95">
        <f>MROUND(((ComplianceScenarioEnrolments[[#This Row],[Education &amp; Care]]*G$76)*G$70)*'[1]Source-fte_qualstus_x_servtype'!J33,5)</f>
        <v>5965</v>
      </c>
      <c r="H130" s="95">
        <f>MROUND(((ComplianceScenarioEnrolments[[#This Row],[Education &amp; Care]]*G$77)*G$71)*'[1]Source-fte_qualstus_x_servtype'!J33,5)</f>
        <v>5105</v>
      </c>
      <c r="I130" s="95">
        <f>MROUND(((ComplianceScenarioEnrolments[[#This Row],[Education &amp; Care]]*SUM(G$78:G$79))*G$72)*'[1]Source-fte_qualstus_x_servtype'!J33,5)</f>
        <v>10510</v>
      </c>
      <c r="J130" s="95">
        <f>MROUND(((ComplianceScenarioEnrolments[[#This Row],[Kindergarten]]*H$76)*H$70)*'[1]Source-fte_qualstus_x_servtype'!J33,5)</f>
        <v>65</v>
      </c>
      <c r="K130" s="95">
        <f>MROUND(((ComplianceScenarioEnrolments[[#This Row],[Kindergarten]]*H$77)*H$71)*'[1]Source-fte_qualstus_x_servtype'!J33,5)</f>
        <v>595</v>
      </c>
      <c r="L130" s="95">
        <f>MROUND(((ComplianceScenarioEnrolments[[#This Row],[Kindergarten]]*SUM(H$78:H$79))*H$72)*'[1]Source-fte_qualstus_x_servtype'!J33,5)</f>
        <v>2765</v>
      </c>
      <c r="M130" s="95">
        <f t="shared" si="24"/>
        <v>25005</v>
      </c>
      <c r="O130" s="13">
        <v>2027</v>
      </c>
      <c r="P130" s="95">
        <f>SUM(HighScenarioCentreBasedFTEDemand12[[#This Row],[Education &amp; Care (2s)]:[Kindergarten (Under 2s)]])</f>
        <v>15680</v>
      </c>
      <c r="Q130" s="95">
        <f>SUM(HighScenarioCentreBasedFTEDemand12[[#This Row],[Kindergarten (Under 2s)]:[Kindergarten (3+)]])</f>
        <v>3425</v>
      </c>
      <c r="R130" s="95">
        <f t="shared" si="25"/>
        <v>19105</v>
      </c>
    </row>
    <row r="131" spans="1:18">
      <c r="A131" s="13">
        <v>2028</v>
      </c>
      <c r="B131" s="94">
        <v>134405</v>
      </c>
      <c r="C131" s="94">
        <v>26675</v>
      </c>
      <c r="D131" s="95">
        <v>161080</v>
      </c>
      <c r="F131" s="13">
        <v>2028</v>
      </c>
      <c r="G131" s="95">
        <f>MROUND(((ComplianceScenarioEnrolments[[#This Row],[Education &amp; Care]]*G$76)*G$70)*'[1]Source-fte_qualstus_x_servtype'!J34,5)</f>
        <v>6025</v>
      </c>
      <c r="H131" s="95">
        <f>MROUND(((ComplianceScenarioEnrolments[[#This Row],[Education &amp; Care]]*G$77)*G$71)*'[1]Source-fte_qualstus_x_servtype'!J34,5)</f>
        <v>5155</v>
      </c>
      <c r="I131" s="95">
        <f>MROUND(((ComplianceScenarioEnrolments[[#This Row],[Education &amp; Care]]*SUM(G$78:G$79))*G$72)*'[1]Source-fte_qualstus_x_servtype'!J34,5)</f>
        <v>10620</v>
      </c>
      <c r="J131" s="95">
        <f>MROUND(((ComplianceScenarioEnrolments[[#This Row],[Kindergarten]]*H$76)*H$70)*'[1]Source-fte_qualstus_x_servtype'!J34,5)</f>
        <v>65</v>
      </c>
      <c r="K131" s="95">
        <f>MROUND(((ComplianceScenarioEnrolments[[#This Row],[Kindergarten]]*H$77)*H$71)*'[1]Source-fte_qualstus_x_servtype'!J34,5)</f>
        <v>600</v>
      </c>
      <c r="L131" s="95">
        <f>MROUND(((ComplianceScenarioEnrolments[[#This Row],[Kindergarten]]*SUM(H$78:H$79))*H$72)*'[1]Source-fte_qualstus_x_servtype'!J34,5)</f>
        <v>2795</v>
      </c>
      <c r="M131" s="95">
        <f t="shared" si="24"/>
        <v>25260</v>
      </c>
      <c r="O131" s="13">
        <v>2028</v>
      </c>
      <c r="P131" s="95">
        <f>SUM(HighScenarioCentreBasedFTEDemand12[[#This Row],[Education &amp; Care (2s)]:[Kindergarten (Under 2s)]])</f>
        <v>15840</v>
      </c>
      <c r="Q131" s="95">
        <f>SUM(HighScenarioCentreBasedFTEDemand12[[#This Row],[Kindergarten (Under 2s)]:[Kindergarten (3+)]])</f>
        <v>3460</v>
      </c>
      <c r="R131" s="95">
        <f t="shared" si="25"/>
        <v>19300</v>
      </c>
    </row>
    <row r="132" spans="1:18">
      <c r="A132" s="13">
        <v>2029</v>
      </c>
      <c r="B132" s="94">
        <v>135285</v>
      </c>
      <c r="C132" s="94">
        <v>26850</v>
      </c>
      <c r="D132" s="95">
        <v>162135</v>
      </c>
      <c r="F132" s="13">
        <v>2029</v>
      </c>
      <c r="G132" s="95">
        <f>MROUND(((ComplianceScenarioEnrolments[[#This Row],[Education &amp; Care]]*G$76)*G$70)*'[1]Source-fte_qualstus_x_servtype'!J35,5)</f>
        <v>6090</v>
      </c>
      <c r="H132" s="95">
        <f>MROUND(((ComplianceScenarioEnrolments[[#This Row],[Education &amp; Care]]*G$77)*G$71)*'[1]Source-fte_qualstus_x_servtype'!J35,5)</f>
        <v>5210</v>
      </c>
      <c r="I132" s="95">
        <f>MROUND(((ComplianceScenarioEnrolments[[#This Row],[Education &amp; Care]]*SUM(G$78:G$79))*G$72)*'[1]Source-fte_qualstus_x_servtype'!J35,5)</f>
        <v>10735</v>
      </c>
      <c r="J132" s="95">
        <f>MROUND(((ComplianceScenarioEnrolments[[#This Row],[Kindergarten]]*H$76)*H$70)*'[1]Source-fte_qualstus_x_servtype'!J35,5)</f>
        <v>65</v>
      </c>
      <c r="K132" s="95">
        <f>MROUND(((ComplianceScenarioEnrolments[[#This Row],[Kindergarten]]*H$77)*H$71)*'[1]Source-fte_qualstus_x_servtype'!J35,5)</f>
        <v>605</v>
      </c>
      <c r="L132" s="95">
        <f>MROUND(((ComplianceScenarioEnrolments[[#This Row],[Kindergarten]]*SUM(H$78:H$79))*H$72)*'[1]Source-fte_qualstus_x_servtype'!J35,5)</f>
        <v>2825</v>
      </c>
      <c r="M132" s="95">
        <f t="shared" si="24"/>
        <v>25530</v>
      </c>
      <c r="O132" s="13">
        <v>2029</v>
      </c>
      <c r="P132" s="95">
        <f>SUM(HighScenarioCentreBasedFTEDemand12[[#This Row],[Education &amp; Care (2s)]:[Kindergarten (Under 2s)]])</f>
        <v>16010</v>
      </c>
      <c r="Q132" s="95">
        <f>SUM(HighScenarioCentreBasedFTEDemand12[[#This Row],[Kindergarten (Under 2s)]:[Kindergarten (3+)]])</f>
        <v>3495</v>
      </c>
      <c r="R132" s="95">
        <f t="shared" si="25"/>
        <v>19505</v>
      </c>
    </row>
    <row r="133" spans="1:18">
      <c r="A133" s="13">
        <v>2030</v>
      </c>
      <c r="B133" s="94">
        <v>135375</v>
      </c>
      <c r="C133" s="94">
        <v>26870</v>
      </c>
      <c r="D133" s="95">
        <v>162245</v>
      </c>
      <c r="F133" s="13">
        <v>2030</v>
      </c>
      <c r="G133" s="95">
        <f>MROUND(((ComplianceScenarioEnrolments[[#This Row],[Education &amp; Care]]*G$76)*G$70)*'[1]Source-fte_qualstus_x_servtype'!J36,5)</f>
        <v>6120</v>
      </c>
      <c r="H133" s="95">
        <f>MROUND(((ComplianceScenarioEnrolments[[#This Row],[Education &amp; Care]]*G$77)*G$71)*'[1]Source-fte_qualstus_x_servtype'!J36,5)</f>
        <v>5240</v>
      </c>
      <c r="I133" s="95">
        <f>MROUND(((ComplianceScenarioEnrolments[[#This Row],[Education &amp; Care]]*SUM(G$78:G$79))*G$72)*'[1]Source-fte_qualstus_x_servtype'!J36,5)</f>
        <v>10790</v>
      </c>
      <c r="J133" s="95">
        <f>MROUND(((ComplianceScenarioEnrolments[[#This Row],[Kindergarten]]*H$76)*H$70)*'[1]Source-fte_qualstus_x_servtype'!J36,5)</f>
        <v>65</v>
      </c>
      <c r="K133" s="95">
        <f>MROUND(((ComplianceScenarioEnrolments[[#This Row],[Kindergarten]]*H$77)*H$71)*'[1]Source-fte_qualstus_x_servtype'!J36,5)</f>
        <v>610</v>
      </c>
      <c r="L133" s="95">
        <f>MROUND(((ComplianceScenarioEnrolments[[#This Row],[Kindergarten]]*SUM(H$78:H$79))*H$72)*'[1]Source-fte_qualstus_x_servtype'!J36,5)</f>
        <v>2840</v>
      </c>
      <c r="M133" s="95">
        <f t="shared" si="24"/>
        <v>25665</v>
      </c>
      <c r="O133" s="13">
        <v>2030</v>
      </c>
      <c r="P133" s="95">
        <f>SUM(HighScenarioCentreBasedFTEDemand12[[#This Row],[Education &amp; Care (2s)]:[Kindergarten (Under 2s)]])</f>
        <v>16095</v>
      </c>
      <c r="Q133" s="95">
        <f>SUM(HighScenarioCentreBasedFTEDemand12[[#This Row],[Kindergarten (Under 2s)]:[Kindergarten (3+)]])</f>
        <v>3515</v>
      </c>
      <c r="R133" s="95">
        <f t="shared" si="25"/>
        <v>19610</v>
      </c>
    </row>
    <row r="134" spans="1:18">
      <c r="A134" s="13">
        <v>2031</v>
      </c>
      <c r="B134" s="94">
        <v>135405</v>
      </c>
      <c r="C134" s="94">
        <v>26875</v>
      </c>
      <c r="D134" s="95">
        <v>162280</v>
      </c>
      <c r="F134" s="13">
        <v>2031</v>
      </c>
      <c r="G134" s="95">
        <f>MROUND(((ComplianceScenarioEnrolments[[#This Row],[Education &amp; Care]]*G$76)*G$70)*'[1]Source-fte_qualstus_x_servtype'!J37,5)</f>
        <v>6150</v>
      </c>
      <c r="H134" s="95">
        <f>MROUND(((ComplianceScenarioEnrolments[[#This Row],[Education &amp; Care]]*G$77)*G$71)*'[1]Source-fte_qualstus_x_servtype'!J37,5)</f>
        <v>5260</v>
      </c>
      <c r="I134" s="95">
        <f>MROUND(((ComplianceScenarioEnrolments[[#This Row],[Education &amp; Care]]*SUM(G$78:G$79))*G$72)*'[1]Source-fte_qualstus_x_servtype'!J37,5)</f>
        <v>10840</v>
      </c>
      <c r="J134" s="95">
        <f>MROUND(((ComplianceScenarioEnrolments[[#This Row],[Kindergarten]]*H$76)*H$70)*'[1]Source-fte_qualstus_x_servtype'!J37,5)</f>
        <v>65</v>
      </c>
      <c r="K134" s="95">
        <f>MROUND(((ComplianceScenarioEnrolments[[#This Row],[Kindergarten]]*H$77)*H$71)*'[1]Source-fte_qualstus_x_servtype'!J37,5)</f>
        <v>610</v>
      </c>
      <c r="L134" s="95">
        <f>MROUND(((ComplianceScenarioEnrolments[[#This Row],[Kindergarten]]*SUM(H$78:H$79))*H$72)*'[1]Source-fte_qualstus_x_servtype'!J37,5)</f>
        <v>2850</v>
      </c>
      <c r="M134" s="95">
        <f t="shared" si="24"/>
        <v>25775</v>
      </c>
      <c r="O134" s="13">
        <v>2031</v>
      </c>
      <c r="P134" s="95">
        <f>SUM(HighScenarioCentreBasedFTEDemand12[[#This Row],[Education &amp; Care (2s)]:[Kindergarten (Under 2s)]])</f>
        <v>16165</v>
      </c>
      <c r="Q134" s="95">
        <f>SUM(HighScenarioCentreBasedFTEDemand12[[#This Row],[Kindergarten (Under 2s)]:[Kindergarten (3+)]])</f>
        <v>3525</v>
      </c>
      <c r="R134" s="95">
        <f t="shared" si="25"/>
        <v>19690</v>
      </c>
    </row>
    <row r="135" spans="1:18">
      <c r="A135" s="13">
        <v>2032</v>
      </c>
      <c r="B135" s="94">
        <v>135405</v>
      </c>
      <c r="C135" s="94">
        <v>26875</v>
      </c>
      <c r="D135" s="95">
        <v>162280</v>
      </c>
      <c r="F135" s="13">
        <v>2032</v>
      </c>
      <c r="G135" s="95">
        <f>MROUND(((ComplianceScenarioEnrolments[[#This Row],[Education &amp; Care]]*G$76)*G$70)*'[1]Source-fte_qualstus_x_servtype'!J38,5)</f>
        <v>6175</v>
      </c>
      <c r="H135" s="95">
        <f>MROUND(((ComplianceScenarioEnrolments[[#This Row],[Education &amp; Care]]*G$77)*G$71)*'[1]Source-fte_qualstus_x_servtype'!J38,5)</f>
        <v>5285</v>
      </c>
      <c r="I135" s="95">
        <f>MROUND(((ComplianceScenarioEnrolments[[#This Row],[Education &amp; Care]]*SUM(G$78:G$79))*G$72)*'[1]Source-fte_qualstus_x_servtype'!J38,5)</f>
        <v>10885</v>
      </c>
      <c r="J135" s="95">
        <f>MROUND(((ComplianceScenarioEnrolments[[#This Row],[Kindergarten]]*H$76)*H$70)*'[1]Source-fte_qualstus_x_servtype'!J38,5)</f>
        <v>65</v>
      </c>
      <c r="K135" s="95">
        <f>MROUND(((ComplianceScenarioEnrolments[[#This Row],[Kindergarten]]*H$77)*H$71)*'[1]Source-fte_qualstus_x_servtype'!J38,5)</f>
        <v>615</v>
      </c>
      <c r="L135" s="95">
        <f>MROUND(((ComplianceScenarioEnrolments[[#This Row],[Kindergarten]]*SUM(H$78:H$79))*H$72)*'[1]Source-fte_qualstus_x_servtype'!J38,5)</f>
        <v>2865</v>
      </c>
      <c r="M135" s="95">
        <f t="shared" si="24"/>
        <v>25890</v>
      </c>
      <c r="O135" s="13">
        <v>2032</v>
      </c>
      <c r="P135" s="95">
        <f>SUM(HighScenarioCentreBasedFTEDemand12[[#This Row],[Education &amp; Care (2s)]:[Kindergarten (Under 2s)]])</f>
        <v>16235</v>
      </c>
      <c r="Q135" s="95">
        <f>SUM(HighScenarioCentreBasedFTEDemand12[[#This Row],[Kindergarten (Under 2s)]:[Kindergarten (3+)]])</f>
        <v>3545</v>
      </c>
      <c r="R135" s="95">
        <f t="shared" si="25"/>
        <v>19780</v>
      </c>
    </row>
    <row r="136" spans="1:18">
      <c r="A136" s="13">
        <v>2033</v>
      </c>
      <c r="B136" s="94">
        <v>135430</v>
      </c>
      <c r="C136" s="94">
        <v>26880</v>
      </c>
      <c r="D136" s="95">
        <v>162310</v>
      </c>
      <c r="F136" s="13">
        <v>2033</v>
      </c>
      <c r="G136" s="95">
        <f>MROUND(((ComplianceScenarioEnrolments[[#This Row],[Education &amp; Care]]*G$76)*G$70)*'[1]Source-fte_qualstus_x_servtype'!J39,5)</f>
        <v>6205</v>
      </c>
      <c r="H136" s="95">
        <f>MROUND(((ComplianceScenarioEnrolments[[#This Row],[Education &amp; Care]]*G$77)*G$71)*'[1]Source-fte_qualstus_x_servtype'!J39,5)</f>
        <v>5310</v>
      </c>
      <c r="I136" s="95">
        <f>MROUND(((ComplianceScenarioEnrolments[[#This Row],[Education &amp; Care]]*SUM(G$78:G$79))*G$72)*'[1]Source-fte_qualstus_x_servtype'!J39,5)</f>
        <v>10935</v>
      </c>
      <c r="J136" s="95">
        <f>MROUND(((ComplianceScenarioEnrolments[[#This Row],[Kindergarten]]*H$76)*H$70)*'[1]Source-fte_qualstus_x_servtype'!J39,5)</f>
        <v>65</v>
      </c>
      <c r="K136" s="95">
        <f>MROUND(((ComplianceScenarioEnrolments[[#This Row],[Kindergarten]]*H$77)*H$71)*'[1]Source-fte_qualstus_x_servtype'!J39,5)</f>
        <v>615</v>
      </c>
      <c r="L136" s="95">
        <f>MROUND(((ComplianceScenarioEnrolments[[#This Row],[Kindergarten]]*SUM(H$78:H$79))*H$72)*'[1]Source-fte_qualstus_x_servtype'!J39,5)</f>
        <v>2880</v>
      </c>
      <c r="M136" s="95">
        <f t="shared" si="24"/>
        <v>26010</v>
      </c>
      <c r="O136" s="13">
        <v>2033</v>
      </c>
      <c r="P136" s="95">
        <f>SUM(HighScenarioCentreBasedFTEDemand12[[#This Row],[Education &amp; Care (2s)]:[Kindergarten (Under 2s)]])</f>
        <v>16310</v>
      </c>
      <c r="Q136" s="95">
        <f>SUM(HighScenarioCentreBasedFTEDemand12[[#This Row],[Kindergarten (Under 2s)]:[Kindergarten (3+)]])</f>
        <v>3560</v>
      </c>
      <c r="R136" s="95">
        <f t="shared" si="25"/>
        <v>19870</v>
      </c>
    </row>
    <row r="137" spans="1:18">
      <c r="A137" s="13">
        <v>2034</v>
      </c>
      <c r="B137" s="94">
        <v>135525</v>
      </c>
      <c r="C137" s="94">
        <v>26900</v>
      </c>
      <c r="D137" s="95">
        <v>162425</v>
      </c>
      <c r="F137" s="13">
        <v>2034</v>
      </c>
      <c r="G137" s="95">
        <f>MROUND(((ComplianceScenarioEnrolments[[#This Row],[Education &amp; Care]]*G$76)*G$70)*'[1]Source-fte_qualstus_x_servtype'!J40,5)</f>
        <v>6235</v>
      </c>
      <c r="H137" s="95">
        <f>MROUND(((ComplianceScenarioEnrolments[[#This Row],[Education &amp; Care]]*G$77)*G$71)*'[1]Source-fte_qualstus_x_servtype'!J40,5)</f>
        <v>5335</v>
      </c>
      <c r="I137" s="95">
        <f>MROUND(((ComplianceScenarioEnrolments[[#This Row],[Education &amp; Care]]*SUM(G$78:G$79))*G$72)*'[1]Source-fte_qualstus_x_servtype'!J40,5)</f>
        <v>10990</v>
      </c>
      <c r="J137" s="95">
        <f>MROUND(((ComplianceScenarioEnrolments[[#This Row],[Kindergarten]]*H$76)*H$70)*'[1]Source-fte_qualstus_x_servtype'!J40,5)</f>
        <v>65</v>
      </c>
      <c r="K137" s="95">
        <f>MROUND(((ComplianceScenarioEnrolments[[#This Row],[Kindergarten]]*H$77)*H$71)*'[1]Source-fte_qualstus_x_servtype'!J40,5)</f>
        <v>620</v>
      </c>
      <c r="L137" s="95">
        <f>MROUND(((ComplianceScenarioEnrolments[[#This Row],[Kindergarten]]*SUM(H$78:H$79))*H$72)*'[1]Source-fte_qualstus_x_servtype'!J40,5)</f>
        <v>2895</v>
      </c>
      <c r="M137" s="95">
        <f t="shared" si="24"/>
        <v>26140</v>
      </c>
      <c r="O137" s="13">
        <v>2034</v>
      </c>
      <c r="P137" s="95">
        <f>SUM(HighScenarioCentreBasedFTEDemand12[[#This Row],[Education &amp; Care (2s)]:[Kindergarten (Under 2s)]])</f>
        <v>16390</v>
      </c>
      <c r="Q137" s="95">
        <f>SUM(HighScenarioCentreBasedFTEDemand12[[#This Row],[Kindergarten (Under 2s)]:[Kindergarten (3+)]])</f>
        <v>3580</v>
      </c>
      <c r="R137" s="95">
        <f t="shared" si="25"/>
        <v>19970</v>
      </c>
    </row>
    <row r="138" spans="1:18">
      <c r="A138" s="13">
        <v>2035</v>
      </c>
      <c r="B138" s="94">
        <v>135725</v>
      </c>
      <c r="C138" s="94">
        <v>26940</v>
      </c>
      <c r="D138" s="95">
        <v>162665</v>
      </c>
      <c r="F138" s="13">
        <v>2035</v>
      </c>
      <c r="G138" s="95">
        <f>MROUND(((ComplianceScenarioEnrolments[[#This Row],[Education &amp; Care]]*G$76)*G$70)*'[1]Source-fte_qualstus_x_servtype'!J41,5)</f>
        <v>6275</v>
      </c>
      <c r="H138" s="95">
        <f>MROUND(((ComplianceScenarioEnrolments[[#This Row],[Education &amp; Care]]*G$77)*G$71)*'[1]Source-fte_qualstus_x_servtype'!J41,5)</f>
        <v>5365</v>
      </c>
      <c r="I138" s="95">
        <f>MROUND(((ComplianceScenarioEnrolments[[#This Row],[Education &amp; Care]]*SUM(G$78:G$79))*G$72)*'[1]Source-fte_qualstus_x_servtype'!J41,5)</f>
        <v>11055</v>
      </c>
      <c r="J138" s="95">
        <f>MROUND(((ComplianceScenarioEnrolments[[#This Row],[Kindergarten]]*H$76)*H$70)*'[1]Source-fte_qualstus_x_servtype'!J41,5)</f>
        <v>65</v>
      </c>
      <c r="K138" s="95">
        <f>MROUND(((ComplianceScenarioEnrolments[[#This Row],[Kindergarten]]*H$77)*H$71)*'[1]Source-fte_qualstus_x_servtype'!J41,5)</f>
        <v>625</v>
      </c>
      <c r="L138" s="95">
        <f>MROUND(((ComplianceScenarioEnrolments[[#This Row],[Kindergarten]]*SUM(H$78:H$79))*H$72)*'[1]Source-fte_qualstus_x_servtype'!J41,5)</f>
        <v>2910</v>
      </c>
      <c r="M138" s="95">
        <f t="shared" si="24"/>
        <v>26295</v>
      </c>
      <c r="O138" s="13">
        <v>2035</v>
      </c>
      <c r="P138" s="95">
        <f>SUM(HighScenarioCentreBasedFTEDemand12[[#This Row],[Education &amp; Care (2s)]:[Kindergarten (Under 2s)]])</f>
        <v>16485</v>
      </c>
      <c r="Q138" s="95">
        <f>SUM(HighScenarioCentreBasedFTEDemand12[[#This Row],[Kindergarten (Under 2s)]:[Kindergarten (3+)]])</f>
        <v>3600</v>
      </c>
      <c r="R138" s="95">
        <f t="shared" si="25"/>
        <v>20085</v>
      </c>
    </row>
  </sheetData>
  <mergeCells count="3">
    <mergeCell ref="O84:R84"/>
    <mergeCell ref="O98:R98"/>
    <mergeCell ref="O112:R112"/>
  </mergeCells>
  <conditionalFormatting sqref="B35:D59">
    <cfRule type="colorScale" priority="1">
      <colorScale>
        <cfvo type="min"/>
        <cfvo type="percentile" val="50"/>
        <cfvo type="max"/>
        <color rgb="FFF8696B"/>
        <color rgb="FFFFEB84"/>
        <color rgb="FF63BE7B"/>
      </colorScale>
    </cfRule>
  </conditionalFormatting>
  <pageMargins left="0.7" right="0.7" top="0.75" bottom="0.75" header="0.3" footer="0.3"/>
  <tableParts count="18">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9154F-918F-45D9-8F0C-B12671F0B56C}">
  <dimension ref="A1:AP63"/>
  <sheetViews>
    <sheetView zoomScale="60" zoomScaleNormal="60" workbookViewId="0">
      <selection sqref="A1:XFD1048576"/>
    </sheetView>
  </sheetViews>
  <sheetFormatPr defaultRowHeight="14.65"/>
  <cols>
    <col min="1" max="1" width="2.85546875" customWidth="1"/>
    <col min="2" max="2" width="2.7109375" customWidth="1"/>
    <col min="3" max="9" width="10" customWidth="1"/>
    <col min="10" max="13" width="0" hidden="1" customWidth="1"/>
    <col min="14" max="14" width="8.85546875" hidden="1" customWidth="1"/>
    <col min="15" max="16" width="2.7109375" customWidth="1"/>
    <col min="17" max="23" width="10" customWidth="1"/>
    <col min="24" max="28" width="0" hidden="1" customWidth="1"/>
    <col min="29" max="30" width="2.7109375" customWidth="1"/>
    <col min="31" max="37" width="10" customWidth="1"/>
    <col min="38" max="42" width="0" hidden="1" customWidth="1"/>
  </cols>
  <sheetData>
    <row r="1" spans="1:42" s="112" customFormat="1" ht="20.65">
      <c r="A1" s="112" t="s">
        <v>36</v>
      </c>
    </row>
    <row r="3" spans="1:42">
      <c r="A3" s="13" t="s">
        <v>242</v>
      </c>
      <c r="B3" s="13"/>
    </row>
    <row r="4" spans="1:42">
      <c r="A4" s="13"/>
      <c r="B4" s="13"/>
    </row>
    <row r="5" spans="1:42" ht="14.45" customHeight="1">
      <c r="B5" s="100"/>
      <c r="C5" s="101"/>
      <c r="D5" s="101"/>
      <c r="E5" s="101"/>
      <c r="F5" s="101"/>
      <c r="G5" s="101"/>
      <c r="H5" s="101"/>
      <c r="I5" s="102" t="s">
        <v>243</v>
      </c>
      <c r="J5" s="101"/>
      <c r="K5" s="101"/>
      <c r="L5" s="101"/>
      <c r="M5" s="101"/>
      <c r="N5" s="101"/>
      <c r="P5" s="103"/>
      <c r="Q5" s="104"/>
      <c r="R5" s="105"/>
      <c r="S5" s="105"/>
      <c r="T5" s="105"/>
      <c r="U5" s="105"/>
      <c r="V5" s="105"/>
      <c r="W5" s="106" t="s">
        <v>244</v>
      </c>
      <c r="X5" s="105"/>
      <c r="Y5" s="105"/>
      <c r="Z5" s="105"/>
      <c r="AA5" s="105"/>
      <c r="AB5" s="105"/>
      <c r="AD5" s="107"/>
      <c r="AE5" s="108"/>
      <c r="AF5" s="108"/>
      <c r="AG5" s="108"/>
      <c r="AH5" s="108"/>
      <c r="AI5" s="108"/>
      <c r="AJ5" s="108"/>
      <c r="AK5" s="109" t="s">
        <v>245</v>
      </c>
      <c r="AL5" s="108"/>
      <c r="AM5" s="108"/>
      <c r="AN5" s="108"/>
      <c r="AO5" s="108"/>
      <c r="AP5" s="108"/>
    </row>
    <row r="6" spans="1:42">
      <c r="B6" s="100"/>
      <c r="C6" s="40" t="s">
        <v>246</v>
      </c>
      <c r="P6" s="103"/>
      <c r="Q6" s="40" t="s">
        <v>246</v>
      </c>
      <c r="AD6" s="107"/>
      <c r="AE6" s="40" t="s">
        <v>246</v>
      </c>
    </row>
    <row r="7" spans="1:42">
      <c r="B7" s="100"/>
      <c r="C7" s="13" t="s">
        <v>247</v>
      </c>
      <c r="D7" s="13" t="s">
        <v>248</v>
      </c>
      <c r="E7" s="13" t="s">
        <v>249</v>
      </c>
      <c r="F7" s="13" t="s">
        <v>250</v>
      </c>
      <c r="G7" s="13" t="s">
        <v>251</v>
      </c>
      <c r="H7" s="13" t="s">
        <v>252</v>
      </c>
      <c r="J7" s="52"/>
      <c r="K7" s="52"/>
      <c r="L7" s="52"/>
      <c r="M7" s="52"/>
      <c r="N7" s="52"/>
      <c r="P7" s="103"/>
      <c r="Q7" s="13" t="s">
        <v>247</v>
      </c>
      <c r="R7" s="13" t="s">
        <v>248</v>
      </c>
      <c r="S7" s="13" t="s">
        <v>249</v>
      </c>
      <c r="T7" s="13" t="s">
        <v>250</v>
      </c>
      <c r="U7" s="13" t="s">
        <v>251</v>
      </c>
      <c r="V7" s="13" t="s">
        <v>252</v>
      </c>
      <c r="X7" s="52"/>
      <c r="Y7" s="52"/>
      <c r="Z7" s="52"/>
      <c r="AA7" s="52"/>
      <c r="AB7" s="52"/>
      <c r="AD7" s="107"/>
      <c r="AE7" s="13" t="s">
        <v>247</v>
      </c>
      <c r="AF7" s="13" t="s">
        <v>248</v>
      </c>
      <c r="AG7" s="13" t="s">
        <v>249</v>
      </c>
      <c r="AH7" s="13" t="s">
        <v>250</v>
      </c>
      <c r="AI7" s="13" t="s">
        <v>251</v>
      </c>
      <c r="AJ7" s="13" t="s">
        <v>252</v>
      </c>
    </row>
    <row r="8" spans="1:42">
      <c r="B8" s="100"/>
      <c r="C8" s="13">
        <v>2015</v>
      </c>
      <c r="D8">
        <v>58870</v>
      </c>
      <c r="E8">
        <v>59020</v>
      </c>
      <c r="F8">
        <v>61290</v>
      </c>
      <c r="G8">
        <v>62450</v>
      </c>
      <c r="H8">
        <v>63580</v>
      </c>
      <c r="J8" s="52">
        <f>SUM(D8:H8)</f>
        <v>305210</v>
      </c>
      <c r="K8" s="52"/>
      <c r="L8" s="110">
        <f>D8/$J8</f>
        <v>0.1928835883490056</v>
      </c>
      <c r="M8" s="110">
        <f t="shared" ref="M8:N17" si="0">E8/$J8</f>
        <v>0.19337505324203008</v>
      </c>
      <c r="N8" s="110">
        <f t="shared" si="0"/>
        <v>0.20081255528980047</v>
      </c>
      <c r="P8" s="103"/>
      <c r="Q8" s="13">
        <v>2015</v>
      </c>
      <c r="R8">
        <f>[2]T5!B3-[3]T5!B3</f>
        <v>37765</v>
      </c>
      <c r="S8">
        <f>[2]T5!C3-[3]T5!C3</f>
        <v>37865</v>
      </c>
      <c r="T8">
        <f>[2]T5!D3-[3]T5!D3</f>
        <v>39320</v>
      </c>
      <c r="U8">
        <f>[2]T5!E3-[3]T5!E3</f>
        <v>40065</v>
      </c>
      <c r="V8">
        <f>[2]T5!F3-[3]T5!F3</f>
        <v>40790</v>
      </c>
      <c r="X8" s="52">
        <f>SUM(R8:V8)</f>
        <v>195805</v>
      </c>
      <c r="Y8" s="52"/>
      <c r="Z8" s="110">
        <f>R8/$X8</f>
        <v>0.19287045785347667</v>
      </c>
      <c r="AA8" s="110">
        <f t="shared" ref="AA8:AB17" si="1">S8/$X8</f>
        <v>0.19338117004162303</v>
      </c>
      <c r="AB8" s="110">
        <f t="shared" si="1"/>
        <v>0.20081203237915274</v>
      </c>
      <c r="AD8" s="107"/>
      <c r="AE8" s="13">
        <v>2015</v>
      </c>
      <c r="AF8">
        <v>21105</v>
      </c>
      <c r="AG8">
        <v>21155</v>
      </c>
      <c r="AH8">
        <v>21970</v>
      </c>
      <c r="AI8">
        <v>22385</v>
      </c>
      <c r="AJ8">
        <v>22790</v>
      </c>
    </row>
    <row r="9" spans="1:42">
      <c r="B9" s="100"/>
      <c r="C9" s="13">
        <v>2016</v>
      </c>
      <c r="D9">
        <v>59400</v>
      </c>
      <c r="E9">
        <v>59550</v>
      </c>
      <c r="F9">
        <v>59980</v>
      </c>
      <c r="G9">
        <v>62440</v>
      </c>
      <c r="H9">
        <v>63340</v>
      </c>
      <c r="J9" s="52">
        <f t="shared" ref="J9:J17" si="2">SUM(D9:H9)</f>
        <v>304710</v>
      </c>
      <c r="K9" s="52"/>
      <c r="L9" s="110">
        <f t="shared" ref="L9:L17" si="3">D9/$J9</f>
        <v>0.19493945062518461</v>
      </c>
      <c r="M9" s="110">
        <f t="shared" si="0"/>
        <v>0.19543172196514719</v>
      </c>
      <c r="N9" s="110">
        <f t="shared" si="0"/>
        <v>0.19684289980637326</v>
      </c>
      <c r="P9" s="103"/>
      <c r="Q9" s="13">
        <v>2016</v>
      </c>
      <c r="R9">
        <f>[2]T5!B4-[3]T5!B4</f>
        <v>38085</v>
      </c>
      <c r="S9">
        <f>[2]T5!C4-[3]T5!C4</f>
        <v>38180</v>
      </c>
      <c r="T9">
        <f>[2]T5!D4-[3]T5!D4</f>
        <v>38455</v>
      </c>
      <c r="U9">
        <f>[2]T5!E4-[3]T5!E4</f>
        <v>40035</v>
      </c>
      <c r="V9">
        <f>[2]T5!F4-[3]T5!F4</f>
        <v>40610</v>
      </c>
      <c r="X9" s="52">
        <f t="shared" ref="X9:X17" si="4">SUM(R9:V9)</f>
        <v>195365</v>
      </c>
      <c r="Y9" s="52"/>
      <c r="Z9" s="110">
        <f t="shared" ref="Z9:Z17" si="5">R9/$X9</f>
        <v>0.19494279937552786</v>
      </c>
      <c r="AA9" s="110">
        <f t="shared" si="1"/>
        <v>0.19542906866634249</v>
      </c>
      <c r="AB9" s="110">
        <f t="shared" si="1"/>
        <v>0.196836690297648</v>
      </c>
      <c r="AD9" s="107"/>
      <c r="AE9" s="13">
        <v>2016</v>
      </c>
      <c r="AF9">
        <v>21315</v>
      </c>
      <c r="AG9">
        <v>21370</v>
      </c>
      <c r="AH9">
        <v>21525</v>
      </c>
      <c r="AI9">
        <v>22405</v>
      </c>
      <c r="AJ9">
        <v>22730</v>
      </c>
    </row>
    <row r="10" spans="1:42">
      <c r="B10" s="100"/>
      <c r="C10" s="13">
        <v>2017</v>
      </c>
      <c r="D10">
        <v>60150</v>
      </c>
      <c r="E10">
        <v>59970</v>
      </c>
      <c r="F10">
        <v>60760</v>
      </c>
      <c r="G10">
        <v>61180</v>
      </c>
      <c r="H10">
        <v>63460</v>
      </c>
      <c r="J10" s="52">
        <f t="shared" si="2"/>
        <v>305520</v>
      </c>
      <c r="K10" s="52"/>
      <c r="L10" s="110">
        <f t="shared" si="3"/>
        <v>0.19687745483110761</v>
      </c>
      <c r="M10" s="110">
        <f t="shared" si="0"/>
        <v>0.19628829536527886</v>
      </c>
      <c r="N10" s="110">
        <f t="shared" si="0"/>
        <v>0.19887405079863837</v>
      </c>
      <c r="P10" s="103"/>
      <c r="Q10" s="13">
        <v>2017</v>
      </c>
      <c r="R10">
        <f>[2]T5!B5-[3]T5!B5</f>
        <v>38660</v>
      </c>
      <c r="S10">
        <f>[2]T5!C5-[3]T5!C5</f>
        <v>38545</v>
      </c>
      <c r="T10">
        <f>[2]T5!D5-[3]T5!D5</f>
        <v>39050</v>
      </c>
      <c r="U10">
        <f>[2]T5!E5-[3]T5!E5</f>
        <v>39320</v>
      </c>
      <c r="V10">
        <f>[2]T5!F5-[3]T5!F5</f>
        <v>40785</v>
      </c>
      <c r="X10" s="52">
        <f t="shared" si="4"/>
        <v>196360</v>
      </c>
      <c r="Y10" s="52"/>
      <c r="Z10" s="110">
        <f t="shared" si="5"/>
        <v>0.1968832756162151</v>
      </c>
      <c r="AA10" s="110">
        <f t="shared" si="1"/>
        <v>0.19629761662253004</v>
      </c>
      <c r="AB10" s="110">
        <f t="shared" si="1"/>
        <v>0.19886942350784273</v>
      </c>
      <c r="AD10" s="107"/>
      <c r="AE10" s="13">
        <v>2017</v>
      </c>
      <c r="AF10">
        <v>21490</v>
      </c>
      <c r="AG10">
        <v>21425</v>
      </c>
      <c r="AH10">
        <v>21710</v>
      </c>
      <c r="AI10">
        <v>21860</v>
      </c>
      <c r="AJ10">
        <v>22675</v>
      </c>
    </row>
    <row r="11" spans="1:42">
      <c r="B11" s="100"/>
      <c r="C11" s="13">
        <v>2018</v>
      </c>
      <c r="D11">
        <v>59530</v>
      </c>
      <c r="E11">
        <v>60520</v>
      </c>
      <c r="F11">
        <v>60890</v>
      </c>
      <c r="G11">
        <v>61880</v>
      </c>
      <c r="H11">
        <v>62210</v>
      </c>
      <c r="J11" s="52">
        <f t="shared" si="2"/>
        <v>305030</v>
      </c>
      <c r="K11" s="52"/>
      <c r="L11" s="110">
        <f t="shared" si="3"/>
        <v>0.19516113169196472</v>
      </c>
      <c r="M11" s="110">
        <f t="shared" si="0"/>
        <v>0.1984067140936957</v>
      </c>
      <c r="N11" s="110">
        <f t="shared" si="0"/>
        <v>0.19961970953676689</v>
      </c>
      <c r="P11" s="103"/>
      <c r="Q11" s="13">
        <v>2018</v>
      </c>
      <c r="R11">
        <f>[2]T5!B6-[3]T5!B6</f>
        <v>38560</v>
      </c>
      <c r="S11">
        <f>[2]T5!C6-[3]T5!C6</f>
        <v>39205</v>
      </c>
      <c r="T11">
        <f>[2]T5!D6-[3]T5!D6</f>
        <v>39445</v>
      </c>
      <c r="U11">
        <f>[2]T5!E6-[3]T5!E6</f>
        <v>40085</v>
      </c>
      <c r="V11">
        <f>[2]T5!F6-[3]T5!F6</f>
        <v>40300</v>
      </c>
      <c r="X11" s="52">
        <f t="shared" si="4"/>
        <v>197595</v>
      </c>
      <c r="Y11" s="52"/>
      <c r="Z11" s="110">
        <f t="shared" si="5"/>
        <v>0.19514663832586857</v>
      </c>
      <c r="AA11" s="110">
        <f t="shared" si="1"/>
        <v>0.19841089096384018</v>
      </c>
      <c r="AB11" s="110">
        <f t="shared" si="1"/>
        <v>0.1996254965965738</v>
      </c>
      <c r="AD11" s="107"/>
      <c r="AE11" s="13">
        <v>2018</v>
      </c>
      <c r="AF11">
        <v>20970</v>
      </c>
      <c r="AG11">
        <v>21315</v>
      </c>
      <c r="AH11">
        <v>21445</v>
      </c>
      <c r="AI11">
        <v>21795</v>
      </c>
      <c r="AJ11">
        <v>21910</v>
      </c>
    </row>
    <row r="12" spans="1:42">
      <c r="B12" s="100"/>
      <c r="C12" s="13">
        <v>2019</v>
      </c>
      <c r="D12">
        <v>59640</v>
      </c>
      <c r="E12">
        <v>59750</v>
      </c>
      <c r="F12">
        <v>61290</v>
      </c>
      <c r="G12">
        <v>61790</v>
      </c>
      <c r="H12">
        <v>62860</v>
      </c>
      <c r="J12" s="52">
        <f t="shared" si="2"/>
        <v>305330</v>
      </c>
      <c r="K12" s="52"/>
      <c r="L12" s="110">
        <f t="shared" si="3"/>
        <v>0.19532964333671765</v>
      </c>
      <c r="M12" s="110">
        <f t="shared" si="0"/>
        <v>0.19568990927848556</v>
      </c>
      <c r="N12" s="110">
        <f t="shared" si="0"/>
        <v>0.2007336324632365</v>
      </c>
      <c r="P12" s="103"/>
      <c r="Q12" s="13">
        <v>2019</v>
      </c>
      <c r="R12">
        <f>[2]T5!B7-[3]T5!B7</f>
        <v>38630</v>
      </c>
      <c r="S12">
        <f>[2]T5!C7-[3]T5!C7</f>
        <v>38700</v>
      </c>
      <c r="T12">
        <f>[2]T5!D7-[3]T5!D7</f>
        <v>39700</v>
      </c>
      <c r="U12">
        <f>[2]T5!E7-[3]T5!E7</f>
        <v>40025</v>
      </c>
      <c r="V12">
        <f>[2]T5!F7-[3]T5!F7</f>
        <v>40715</v>
      </c>
      <c r="X12" s="52">
        <f t="shared" si="4"/>
        <v>197770</v>
      </c>
      <c r="Y12" s="52"/>
      <c r="Z12" s="110">
        <f t="shared" si="5"/>
        <v>0.19532790615361278</v>
      </c>
      <c r="AA12" s="110">
        <f t="shared" si="1"/>
        <v>0.19568185265712695</v>
      </c>
      <c r="AB12" s="110">
        <f t="shared" si="1"/>
        <v>0.20073823127875814</v>
      </c>
      <c r="AD12" s="107"/>
      <c r="AE12" s="13">
        <v>2019</v>
      </c>
      <c r="AF12">
        <v>21010</v>
      </c>
      <c r="AG12">
        <v>21050</v>
      </c>
      <c r="AH12">
        <v>21590</v>
      </c>
      <c r="AI12">
        <v>21765</v>
      </c>
      <c r="AJ12">
        <v>22145</v>
      </c>
    </row>
    <row r="13" spans="1:42">
      <c r="B13" s="100"/>
      <c r="C13" s="13">
        <v>2020</v>
      </c>
      <c r="D13">
        <v>59330</v>
      </c>
      <c r="E13">
        <v>60080</v>
      </c>
      <c r="F13">
        <v>60610</v>
      </c>
      <c r="G13">
        <v>62410</v>
      </c>
      <c r="H13">
        <v>62770</v>
      </c>
      <c r="J13" s="52">
        <f t="shared" si="2"/>
        <v>305200</v>
      </c>
      <c r="K13" s="52"/>
      <c r="L13" s="110">
        <f t="shared" si="3"/>
        <v>0.19439711664482306</v>
      </c>
      <c r="M13" s="110">
        <f t="shared" si="0"/>
        <v>0.19685452162516381</v>
      </c>
      <c r="N13" s="110">
        <f t="shared" si="0"/>
        <v>0.1985910878112713</v>
      </c>
      <c r="P13" s="103"/>
      <c r="Q13" s="13">
        <v>2020</v>
      </c>
      <c r="R13">
        <f>[2]T5!B8-[3]T5!B8</f>
        <v>38520</v>
      </c>
      <c r="S13">
        <f>[2]T5!C8-[3]T5!C8</f>
        <v>39010</v>
      </c>
      <c r="T13">
        <f>[2]T5!D8-[3]T5!D8</f>
        <v>39355</v>
      </c>
      <c r="U13">
        <f>[2]T5!E8-[3]T5!E8</f>
        <v>40520</v>
      </c>
      <c r="V13">
        <f>[2]T5!F8-[3]T5!F8</f>
        <v>40755</v>
      </c>
      <c r="X13" s="52">
        <f t="shared" si="4"/>
        <v>198160</v>
      </c>
      <c r="Y13" s="52"/>
      <c r="Z13" s="110">
        <f t="shared" si="5"/>
        <v>0.19438837303189341</v>
      </c>
      <c r="AA13" s="110">
        <f t="shared" si="1"/>
        <v>0.19686112232539363</v>
      </c>
      <c r="AB13" s="110">
        <f t="shared" si="1"/>
        <v>0.19860213968510296</v>
      </c>
      <c r="AD13" s="107"/>
      <c r="AE13" s="13">
        <v>2020</v>
      </c>
      <c r="AF13">
        <v>20810</v>
      </c>
      <c r="AG13">
        <v>21070</v>
      </c>
      <c r="AH13">
        <v>21255</v>
      </c>
      <c r="AI13">
        <v>21890</v>
      </c>
      <c r="AJ13">
        <v>22015</v>
      </c>
    </row>
    <row r="14" spans="1:42">
      <c r="B14" s="100"/>
      <c r="C14" s="13">
        <v>2021</v>
      </c>
      <c r="D14">
        <v>60860</v>
      </c>
      <c r="E14">
        <v>59520</v>
      </c>
      <c r="F14">
        <v>60420</v>
      </c>
      <c r="G14">
        <v>60930</v>
      </c>
      <c r="H14">
        <v>62640</v>
      </c>
      <c r="J14" s="52">
        <f t="shared" si="2"/>
        <v>304370</v>
      </c>
      <c r="K14" s="52"/>
      <c r="L14" s="110">
        <f t="shared" si="3"/>
        <v>0.19995400335118441</v>
      </c>
      <c r="M14" s="110">
        <f t="shared" si="0"/>
        <v>0.19555146696454972</v>
      </c>
      <c r="N14" s="110">
        <f t="shared" si="0"/>
        <v>0.19850839438840884</v>
      </c>
      <c r="P14" s="103"/>
      <c r="Q14" s="13">
        <v>2021</v>
      </c>
      <c r="R14">
        <f>[2]T5!B9-[3]T5!B9</f>
        <v>39705</v>
      </c>
      <c r="S14">
        <f>[2]T5!C9-[3]T5!C9</f>
        <v>38835</v>
      </c>
      <c r="T14">
        <f>[2]T5!D9-[3]T5!D9</f>
        <v>39420</v>
      </c>
      <c r="U14">
        <f>[2]T5!E9-[3]T5!E9</f>
        <v>39755</v>
      </c>
      <c r="V14">
        <f>[2]T5!F9-[3]T5!F9</f>
        <v>40870</v>
      </c>
      <c r="X14" s="52">
        <f t="shared" si="4"/>
        <v>198585</v>
      </c>
      <c r="Y14" s="52"/>
      <c r="Z14" s="110">
        <f t="shared" si="5"/>
        <v>0.19993957247526248</v>
      </c>
      <c r="AA14" s="110">
        <f t="shared" si="1"/>
        <v>0.19555857693179243</v>
      </c>
      <c r="AB14" s="110">
        <f t="shared" si="1"/>
        <v>0.19850441876274644</v>
      </c>
      <c r="AD14" s="107"/>
      <c r="AE14" s="13">
        <v>2021</v>
      </c>
      <c r="AF14">
        <v>21155</v>
      </c>
      <c r="AG14">
        <v>20685</v>
      </c>
      <c r="AH14">
        <v>21000</v>
      </c>
      <c r="AI14">
        <v>21175</v>
      </c>
      <c r="AJ14">
        <v>21770</v>
      </c>
    </row>
    <row r="15" spans="1:42">
      <c r="B15" s="100"/>
      <c r="C15" s="13">
        <v>2022</v>
      </c>
      <c r="D15">
        <v>60340</v>
      </c>
      <c r="E15">
        <v>60720</v>
      </c>
      <c r="F15">
        <v>59670</v>
      </c>
      <c r="G15">
        <v>60840</v>
      </c>
      <c r="H15">
        <v>61160</v>
      </c>
      <c r="J15" s="52">
        <f t="shared" si="2"/>
        <v>302730</v>
      </c>
      <c r="K15" s="52"/>
      <c r="L15" s="110">
        <f t="shared" si="3"/>
        <v>0.19931952564991906</v>
      </c>
      <c r="M15" s="110">
        <f t="shared" si="0"/>
        <v>0.20057476959667031</v>
      </c>
      <c r="N15" s="110">
        <f t="shared" si="0"/>
        <v>0.197106332375384</v>
      </c>
      <c r="P15" s="103"/>
      <c r="Q15" s="13">
        <v>2022</v>
      </c>
      <c r="R15">
        <f>[2]T5!B10-[3]T5!B10</f>
        <v>39585</v>
      </c>
      <c r="S15">
        <f>[2]T5!C10-[3]T5!C10</f>
        <v>39835</v>
      </c>
      <c r="T15">
        <f>[2]T5!D10-[3]T5!D10</f>
        <v>39145</v>
      </c>
      <c r="U15">
        <f>[2]T5!E10-[3]T5!E10</f>
        <v>39915</v>
      </c>
      <c r="V15">
        <f>[2]T5!F10-[3]T5!F10</f>
        <v>40125</v>
      </c>
      <c r="X15" s="52">
        <f t="shared" si="4"/>
        <v>198605</v>
      </c>
      <c r="Y15" s="52"/>
      <c r="Z15" s="110">
        <f t="shared" si="5"/>
        <v>0.1993152236852043</v>
      </c>
      <c r="AA15" s="110">
        <f t="shared" si="1"/>
        <v>0.20057400367563757</v>
      </c>
      <c r="AB15" s="110">
        <f t="shared" si="1"/>
        <v>0.19709977090204175</v>
      </c>
      <c r="AD15" s="107"/>
      <c r="AE15" s="13">
        <v>2022</v>
      </c>
      <c r="AF15">
        <v>20755</v>
      </c>
      <c r="AG15">
        <v>20885</v>
      </c>
      <c r="AH15">
        <v>20525</v>
      </c>
      <c r="AI15">
        <v>20925</v>
      </c>
      <c r="AJ15">
        <v>21035</v>
      </c>
    </row>
    <row r="16" spans="1:42">
      <c r="B16" s="100"/>
      <c r="C16" s="13">
        <v>2023</v>
      </c>
      <c r="D16">
        <v>56840</v>
      </c>
      <c r="E16">
        <v>60790</v>
      </c>
      <c r="F16">
        <v>61490</v>
      </c>
      <c r="G16">
        <v>60840</v>
      </c>
      <c r="H16">
        <v>62350</v>
      </c>
      <c r="J16" s="52">
        <f t="shared" si="2"/>
        <v>302310</v>
      </c>
      <c r="K16" s="52"/>
      <c r="L16" s="110">
        <f t="shared" si="3"/>
        <v>0.18801892097515796</v>
      </c>
      <c r="M16" s="110">
        <f t="shared" si="0"/>
        <v>0.20108497899507127</v>
      </c>
      <c r="N16" s="110">
        <f t="shared" si="0"/>
        <v>0.20340048294796731</v>
      </c>
      <c r="P16" s="103"/>
      <c r="Q16" s="13">
        <v>2023</v>
      </c>
      <c r="R16">
        <f>[2]T5!B11-[3]T5!B11</f>
        <v>37140</v>
      </c>
      <c r="S16">
        <f>[2]T5!C11-[3]T5!C11</f>
        <v>39720</v>
      </c>
      <c r="T16">
        <f>[2]T5!D11-[3]T5!D11</f>
        <v>40180</v>
      </c>
      <c r="U16">
        <f>[2]T5!E11-[3]T5!E11</f>
        <v>39755</v>
      </c>
      <c r="V16">
        <f>[2]T5!F11-[3]T5!F11</f>
        <v>40740</v>
      </c>
      <c r="X16" s="52">
        <f t="shared" si="4"/>
        <v>197535</v>
      </c>
      <c r="Y16" s="52"/>
      <c r="Z16" s="110">
        <f t="shared" si="5"/>
        <v>0.18801731338750094</v>
      </c>
      <c r="AA16" s="110">
        <f t="shared" si="1"/>
        <v>0.20107828992330473</v>
      </c>
      <c r="AB16" s="110">
        <f t="shared" si="1"/>
        <v>0.20340699116612246</v>
      </c>
      <c r="AD16" s="107"/>
      <c r="AE16" s="13">
        <v>2023</v>
      </c>
      <c r="AF16">
        <v>19700</v>
      </c>
      <c r="AG16">
        <v>21070</v>
      </c>
      <c r="AH16">
        <v>21310</v>
      </c>
      <c r="AI16">
        <v>21085</v>
      </c>
      <c r="AJ16">
        <v>21610</v>
      </c>
    </row>
    <row r="17" spans="2:42">
      <c r="B17" s="100"/>
      <c r="C17" s="13">
        <v>2024</v>
      </c>
      <c r="D17">
        <v>57070</v>
      </c>
      <c r="E17">
        <v>57190</v>
      </c>
      <c r="F17">
        <v>61700</v>
      </c>
      <c r="G17">
        <v>62510</v>
      </c>
      <c r="H17">
        <v>62230</v>
      </c>
      <c r="J17" s="52">
        <f t="shared" si="2"/>
        <v>300700</v>
      </c>
      <c r="K17" s="52"/>
      <c r="L17" s="110">
        <f t="shared" si="3"/>
        <v>0.18979048885932823</v>
      </c>
      <c r="M17" s="110">
        <f t="shared" si="0"/>
        <v>0.19018955769870302</v>
      </c>
      <c r="N17" s="110">
        <f t="shared" si="0"/>
        <v>0.20518789491187231</v>
      </c>
      <c r="P17" s="103"/>
      <c r="Q17" s="13">
        <v>2024</v>
      </c>
      <c r="R17">
        <f>[2]T5!B12-[3]T5!B12</f>
        <v>37105</v>
      </c>
      <c r="S17">
        <f>[2]T5!C12-[3]T5!C12</f>
        <v>37185</v>
      </c>
      <c r="T17">
        <f>[2]T5!D12-[3]T5!D12</f>
        <v>40115</v>
      </c>
      <c r="U17">
        <f>[2]T5!E12-[3]T5!E12</f>
        <v>40645</v>
      </c>
      <c r="V17">
        <f>[2]T5!F12-[3]T5!F12</f>
        <v>40460</v>
      </c>
      <c r="X17" s="52">
        <f t="shared" si="4"/>
        <v>195510</v>
      </c>
      <c r="Y17" s="52"/>
      <c r="Z17" s="110">
        <f t="shared" si="5"/>
        <v>0.18978568871157486</v>
      </c>
      <c r="AA17" s="110">
        <f t="shared" si="1"/>
        <v>0.19019487494245818</v>
      </c>
      <c r="AB17" s="110">
        <f t="shared" si="1"/>
        <v>0.20518132064856018</v>
      </c>
      <c r="AD17" s="107"/>
      <c r="AE17" s="13">
        <v>2024</v>
      </c>
      <c r="AF17">
        <v>19965</v>
      </c>
      <c r="AG17">
        <v>20005</v>
      </c>
      <c r="AH17">
        <v>21585</v>
      </c>
      <c r="AI17">
        <v>21865</v>
      </c>
      <c r="AJ17">
        <v>21770</v>
      </c>
    </row>
    <row r="18" spans="2:42">
      <c r="B18" s="100"/>
      <c r="C18" s="40"/>
      <c r="P18" s="103"/>
      <c r="Q18" s="40"/>
      <c r="AD18" s="107"/>
    </row>
    <row r="19" spans="2:42">
      <c r="B19" s="100"/>
      <c r="C19" s="40" t="s">
        <v>253</v>
      </c>
      <c r="J19" s="40" t="s">
        <v>254</v>
      </c>
      <c r="P19" s="104"/>
      <c r="Q19" s="40" t="s">
        <v>253</v>
      </c>
      <c r="X19" s="40" t="s">
        <v>254</v>
      </c>
      <c r="AD19" s="108"/>
      <c r="AE19" s="40" t="s">
        <v>253</v>
      </c>
      <c r="AL19" s="40" t="s">
        <v>254</v>
      </c>
    </row>
    <row r="20" spans="2:42">
      <c r="B20" s="100"/>
      <c r="C20" s="13"/>
      <c r="D20" s="13" t="s">
        <v>255</v>
      </c>
      <c r="E20" s="13" t="s">
        <v>256</v>
      </c>
      <c r="F20" s="13" t="s">
        <v>257</v>
      </c>
      <c r="G20" s="13" t="s">
        <v>258</v>
      </c>
      <c r="H20" s="13" t="s">
        <v>259</v>
      </c>
      <c r="J20" s="13" t="s">
        <v>255</v>
      </c>
      <c r="K20" s="13" t="s">
        <v>256</v>
      </c>
      <c r="L20" s="13" t="s">
        <v>257</v>
      </c>
      <c r="M20" s="13" t="s">
        <v>258</v>
      </c>
      <c r="N20" s="13" t="s">
        <v>259</v>
      </c>
      <c r="P20" s="104"/>
      <c r="Q20" s="13"/>
      <c r="R20" s="13" t="s">
        <v>255</v>
      </c>
      <c r="S20" s="13" t="s">
        <v>256</v>
      </c>
      <c r="T20" s="13" t="s">
        <v>257</v>
      </c>
      <c r="U20" s="13" t="s">
        <v>258</v>
      </c>
      <c r="V20" s="13" t="s">
        <v>259</v>
      </c>
      <c r="X20" s="13" t="s">
        <v>255</v>
      </c>
      <c r="Y20" s="13" t="s">
        <v>256</v>
      </c>
      <c r="Z20" s="13" t="s">
        <v>257</v>
      </c>
      <c r="AA20" s="13" t="s">
        <v>258</v>
      </c>
      <c r="AB20" s="13" t="s">
        <v>259</v>
      </c>
      <c r="AD20" s="108"/>
      <c r="AF20" s="13" t="s">
        <v>255</v>
      </c>
      <c r="AG20" s="13" t="s">
        <v>256</v>
      </c>
      <c r="AH20" s="13" t="s">
        <v>257</v>
      </c>
      <c r="AI20" s="13" t="s">
        <v>258</v>
      </c>
      <c r="AJ20" s="13" t="s">
        <v>259</v>
      </c>
      <c r="AL20" s="13" t="s">
        <v>255</v>
      </c>
      <c r="AM20" s="13" t="s">
        <v>256</v>
      </c>
      <c r="AN20" s="13" t="s">
        <v>257</v>
      </c>
      <c r="AO20" s="13" t="s">
        <v>258</v>
      </c>
      <c r="AP20" s="13" t="s">
        <v>259</v>
      </c>
    </row>
    <row r="21" spans="2:42">
      <c r="B21" s="100"/>
      <c r="C21" s="13">
        <v>2015</v>
      </c>
      <c r="D21">
        <v>9774</v>
      </c>
      <c r="E21">
        <v>26312</v>
      </c>
      <c r="F21">
        <v>40320</v>
      </c>
      <c r="G21">
        <v>57332</v>
      </c>
      <c r="H21">
        <v>61354</v>
      </c>
      <c r="J21" s="10">
        <f>D21/SUM($D21:$H21)</f>
        <v>5.0099440264080537E-2</v>
      </c>
      <c r="K21" s="10">
        <f t="shared" ref="K21:N21" si="6">E21/SUM($D21:$H21)</f>
        <v>0.13486970249933364</v>
      </c>
      <c r="L21" s="10">
        <f t="shared" si="6"/>
        <v>0.20667172410965085</v>
      </c>
      <c r="M21" s="10">
        <f t="shared" si="6"/>
        <v>0.29387160929202633</v>
      </c>
      <c r="N21" s="10">
        <f t="shared" si="6"/>
        <v>0.31448752383490863</v>
      </c>
      <c r="P21" s="104"/>
      <c r="Q21" s="13">
        <v>2015</v>
      </c>
      <c r="R21">
        <f>[2]T5!B16-[3]T5!B16</f>
        <v>6392</v>
      </c>
      <c r="S21">
        <f>[2]T5!C16-[3]T5!C16</f>
        <v>17680</v>
      </c>
      <c r="T21">
        <f>[2]T5!D16-[3]T5!D16</f>
        <v>26978</v>
      </c>
      <c r="U21">
        <f>[2]T5!E16-[3]T5!E16</f>
        <v>37789</v>
      </c>
      <c r="V21">
        <f>[2]T5!F16-[3]T5!F16</f>
        <v>40304</v>
      </c>
      <c r="X21" s="10">
        <f>R21/SUM($R21:$V21)</f>
        <v>4.9495520469557006E-2</v>
      </c>
      <c r="Y21" s="10">
        <f t="shared" ref="Y21:AB21" si="7">S21/SUM($R21:$V21)</f>
        <v>0.13690250342643426</v>
      </c>
      <c r="Z21" s="10">
        <f t="shared" si="7"/>
        <v>0.20890021139357146</v>
      </c>
      <c r="AA21" s="10">
        <f t="shared" si="7"/>
        <v>0.29261361436547084</v>
      </c>
      <c r="AB21" s="10">
        <f t="shared" si="7"/>
        <v>0.31208815034496645</v>
      </c>
      <c r="AD21" s="108"/>
      <c r="AE21" s="13">
        <v>2015</v>
      </c>
      <c r="AF21">
        <v>3382</v>
      </c>
      <c r="AG21">
        <v>8632</v>
      </c>
      <c r="AH21">
        <v>13342</v>
      </c>
      <c r="AI21">
        <v>19543</v>
      </c>
      <c r="AJ21">
        <v>21050</v>
      </c>
      <c r="AL21">
        <v>5.128205128205128E-2</v>
      </c>
      <c r="AM21">
        <v>0.13088902030356792</v>
      </c>
      <c r="AN21">
        <v>0.20230784394001425</v>
      </c>
      <c r="AO21">
        <v>0.29633504677857131</v>
      </c>
      <c r="AP21">
        <v>0.31918603769579523</v>
      </c>
    </row>
    <row r="22" spans="2:42">
      <c r="B22" s="100"/>
      <c r="C22" s="13">
        <v>2016</v>
      </c>
      <c r="D22">
        <v>10076</v>
      </c>
      <c r="E22">
        <v>28066</v>
      </c>
      <c r="F22">
        <v>41250</v>
      </c>
      <c r="G22">
        <v>58529</v>
      </c>
      <c r="H22">
        <v>61592</v>
      </c>
      <c r="J22" s="10">
        <f t="shared" ref="J22:N30" si="8">D22/SUM($D22:$H22)</f>
        <v>5.0502974743500427E-2</v>
      </c>
      <c r="K22" s="10">
        <f t="shared" si="8"/>
        <v>0.14067253762912693</v>
      </c>
      <c r="L22" s="10">
        <f t="shared" si="8"/>
        <v>0.20675344463769277</v>
      </c>
      <c r="M22" s="10">
        <f t="shared" si="8"/>
        <v>0.29335932996847325</v>
      </c>
      <c r="N22" s="10">
        <f t="shared" si="8"/>
        <v>0.30871171302120665</v>
      </c>
      <c r="P22" s="104"/>
      <c r="Q22" s="13">
        <v>2016</v>
      </c>
      <c r="R22">
        <f>[2]T5!B17-[3]T5!B17</f>
        <v>6950</v>
      </c>
      <c r="S22">
        <f>[2]T5!C17-[3]T5!C17</f>
        <v>18719</v>
      </c>
      <c r="T22">
        <f>[2]T5!D17-[3]T5!D17</f>
        <v>27647</v>
      </c>
      <c r="U22">
        <f>[2]T5!E17-[3]T5!E17</f>
        <v>38482</v>
      </c>
      <c r="V22">
        <f>[2]T5!F17-[3]T5!F17</f>
        <v>40372</v>
      </c>
      <c r="X22" s="10">
        <f t="shared" ref="X22:AB30" si="9">R22/SUM($R22:$V22)</f>
        <v>5.2583793599152606E-2</v>
      </c>
      <c r="Y22" s="10">
        <f t="shared" si="9"/>
        <v>0.14162820609820687</v>
      </c>
      <c r="Z22" s="10">
        <f t="shared" si="9"/>
        <v>0.20917757433608231</v>
      </c>
      <c r="AA22" s="10">
        <f t="shared" si="9"/>
        <v>0.29115533025648788</v>
      </c>
      <c r="AB22" s="10">
        <f t="shared" si="9"/>
        <v>0.30545509571007035</v>
      </c>
      <c r="AD22" s="108"/>
      <c r="AE22" s="13">
        <v>2016</v>
      </c>
      <c r="AF22">
        <v>3126</v>
      </c>
      <c r="AG22">
        <v>9347</v>
      </c>
      <c r="AH22">
        <v>13603</v>
      </c>
      <c r="AI22">
        <v>20047</v>
      </c>
      <c r="AJ22">
        <v>21220</v>
      </c>
      <c r="AL22">
        <v>4.6419078449133538E-2</v>
      </c>
      <c r="AM22">
        <v>0.13879690539477005</v>
      </c>
      <c r="AN22">
        <v>0.20199575308495316</v>
      </c>
      <c r="AO22">
        <v>0.2976849858188676</v>
      </c>
      <c r="AP22">
        <v>0.31510327725227566</v>
      </c>
    </row>
    <row r="23" spans="2:42">
      <c r="B23" s="100"/>
      <c r="C23" s="13">
        <v>2017</v>
      </c>
      <c r="D23">
        <v>10549</v>
      </c>
      <c r="E23">
        <v>28467</v>
      </c>
      <c r="F23">
        <v>42504</v>
      </c>
      <c r="G23">
        <v>57052</v>
      </c>
      <c r="H23">
        <v>61763</v>
      </c>
      <c r="J23" s="10">
        <f t="shared" si="8"/>
        <v>5.265679986023411E-2</v>
      </c>
      <c r="K23" s="10">
        <f t="shared" si="8"/>
        <v>0.14209698754586067</v>
      </c>
      <c r="L23" s="10">
        <f t="shared" si="8"/>
        <v>0.21216462425437393</v>
      </c>
      <c r="M23" s="10">
        <f t="shared" si="8"/>
        <v>0.28478298849427208</v>
      </c>
      <c r="N23" s="10">
        <f t="shared" si="8"/>
        <v>0.3082985998452592</v>
      </c>
      <c r="P23" s="104"/>
      <c r="Q23" s="13">
        <v>2017</v>
      </c>
      <c r="R23">
        <f>[2]T5!B18-[3]T5!B18</f>
        <v>7059</v>
      </c>
      <c r="S23">
        <f>[2]T5!C18-[3]T5!C18</f>
        <v>19206</v>
      </c>
      <c r="T23">
        <f>[2]T5!D18-[3]T5!D18</f>
        <v>28171</v>
      </c>
      <c r="U23">
        <f>[2]T5!E18-[3]T5!E18</f>
        <v>37575</v>
      </c>
      <c r="V23">
        <f>[2]T5!F18-[3]T5!F18</f>
        <v>40366</v>
      </c>
      <c r="X23" s="10">
        <f t="shared" si="9"/>
        <v>5.3324973371507135E-2</v>
      </c>
      <c r="Y23" s="10">
        <f t="shared" si="9"/>
        <v>0.14508562665719876</v>
      </c>
      <c r="Z23" s="10">
        <f t="shared" si="9"/>
        <v>0.21280887163177895</v>
      </c>
      <c r="AA23" s="10">
        <f t="shared" si="9"/>
        <v>0.28384840266813721</v>
      </c>
      <c r="AB23" s="10">
        <f t="shared" si="9"/>
        <v>0.30493212567137795</v>
      </c>
      <c r="AD23" s="108"/>
      <c r="AE23" s="13">
        <v>2017</v>
      </c>
      <c r="AF23">
        <v>3490</v>
      </c>
      <c r="AG23">
        <v>9261</v>
      </c>
      <c r="AH23">
        <v>14333</v>
      </c>
      <c r="AI23">
        <v>19477</v>
      </c>
      <c r="AJ23">
        <v>21397</v>
      </c>
      <c r="AL23">
        <v>5.1355248830159801E-2</v>
      </c>
      <c r="AM23">
        <v>0.13627534653756732</v>
      </c>
      <c r="AN23">
        <v>0.21090967950793138</v>
      </c>
      <c r="AO23">
        <v>0.28660349039112393</v>
      </c>
      <c r="AP23">
        <v>0.31485623473321755</v>
      </c>
    </row>
    <row r="24" spans="2:42">
      <c r="B24" s="100"/>
      <c r="C24" s="13">
        <v>2018</v>
      </c>
      <c r="D24">
        <v>9538</v>
      </c>
      <c r="E24">
        <v>28725</v>
      </c>
      <c r="F24">
        <v>42326</v>
      </c>
      <c r="G24">
        <v>56725</v>
      </c>
      <c r="H24">
        <v>59675</v>
      </c>
      <c r="J24" s="10">
        <f t="shared" si="8"/>
        <v>4.8418947250861724E-2</v>
      </c>
      <c r="K24" s="10">
        <f t="shared" si="8"/>
        <v>0.14582032499276609</v>
      </c>
      <c r="L24" s="10">
        <f t="shared" si="8"/>
        <v>0.2148647894044845</v>
      </c>
      <c r="M24" s="10">
        <f t="shared" si="8"/>
        <v>0.28796024143480092</v>
      </c>
      <c r="N24" s="10">
        <f t="shared" si="8"/>
        <v>0.30293569691708672</v>
      </c>
      <c r="P24" s="104"/>
      <c r="Q24" s="13">
        <v>2018</v>
      </c>
      <c r="R24">
        <f>[2]T5!B19-[3]T5!B19</f>
        <v>6427</v>
      </c>
      <c r="S24">
        <f>[2]T5!C19-[3]T5!C19</f>
        <v>18998</v>
      </c>
      <c r="T24">
        <f>[2]T5!D19-[3]T5!D19</f>
        <v>28219</v>
      </c>
      <c r="U24">
        <f>[2]T5!E19-[3]T5!E19</f>
        <v>36904</v>
      </c>
      <c r="V24">
        <f>[2]T5!F19-[3]T5!F19</f>
        <v>38931</v>
      </c>
      <c r="X24" s="10">
        <f t="shared" si="9"/>
        <v>4.9637392936306271E-2</v>
      </c>
      <c r="Y24" s="10">
        <f t="shared" si="9"/>
        <v>0.14672649618857111</v>
      </c>
      <c r="Z24" s="10">
        <f t="shared" si="9"/>
        <v>0.21794267796322184</v>
      </c>
      <c r="AA24" s="10">
        <f t="shared" si="9"/>
        <v>0.28501919230145428</v>
      </c>
      <c r="AB24" s="10">
        <f t="shared" si="9"/>
        <v>0.30067424061044651</v>
      </c>
      <c r="AD24" s="108"/>
      <c r="AE24" s="13">
        <v>2018</v>
      </c>
      <c r="AF24">
        <v>3111</v>
      </c>
      <c r="AG24">
        <v>9727</v>
      </c>
      <c r="AH24">
        <v>14107</v>
      </c>
      <c r="AI24">
        <v>19821</v>
      </c>
      <c r="AJ24">
        <v>20744</v>
      </c>
      <c r="AL24">
        <v>4.6082061916753077E-2</v>
      </c>
      <c r="AM24">
        <v>0.14408235816916012</v>
      </c>
      <c r="AN24">
        <v>0.20896163531328693</v>
      </c>
      <c r="AO24">
        <v>0.29360094800770259</v>
      </c>
      <c r="AP24">
        <v>0.30727299659309731</v>
      </c>
    </row>
    <row r="25" spans="2:42">
      <c r="B25" s="100"/>
      <c r="C25" s="13">
        <v>2019</v>
      </c>
      <c r="D25">
        <v>9319</v>
      </c>
      <c r="E25">
        <v>28217</v>
      </c>
      <c r="F25">
        <v>42626</v>
      </c>
      <c r="G25">
        <v>55588</v>
      </c>
      <c r="H25">
        <v>59229</v>
      </c>
      <c r="J25" s="10">
        <f t="shared" si="8"/>
        <v>4.7794890731822401E-2</v>
      </c>
      <c r="K25" s="10">
        <f t="shared" si="8"/>
        <v>0.14471814913400929</v>
      </c>
      <c r="L25" s="10">
        <f t="shared" si="8"/>
        <v>0.21861841531652126</v>
      </c>
      <c r="M25" s="10">
        <f t="shared" si="8"/>
        <v>0.28509736946030084</v>
      </c>
      <c r="N25" s="10">
        <f t="shared" si="8"/>
        <v>0.30377117535734616</v>
      </c>
      <c r="P25" s="104"/>
      <c r="Q25" s="13">
        <v>2019</v>
      </c>
      <c r="R25">
        <f>[2]T5!B20-[3]T5!B20</f>
        <v>6181</v>
      </c>
      <c r="S25">
        <f>[2]T5!C20-[3]T5!C20</f>
        <v>18686</v>
      </c>
      <c r="T25">
        <f>[2]T5!D20-[3]T5!D20</f>
        <v>27985</v>
      </c>
      <c r="U25">
        <f>[2]T5!E20-[3]T5!E20</f>
        <v>36581</v>
      </c>
      <c r="V25">
        <f>[2]T5!F20-[3]T5!F20</f>
        <v>38233</v>
      </c>
      <c r="X25" s="10">
        <f t="shared" si="9"/>
        <v>4.8415396425046608E-2</v>
      </c>
      <c r="Y25" s="10">
        <f t="shared" si="9"/>
        <v>0.14636629956292199</v>
      </c>
      <c r="Z25" s="10">
        <f t="shared" si="9"/>
        <v>0.2192048000250654</v>
      </c>
      <c r="AA25" s="10">
        <f t="shared" si="9"/>
        <v>0.28653674431720272</v>
      </c>
      <c r="AB25" s="10">
        <f t="shared" si="9"/>
        <v>0.29947675966976328</v>
      </c>
      <c r="AD25" s="108"/>
      <c r="AE25" s="13">
        <v>2019</v>
      </c>
      <c r="AF25">
        <v>3138</v>
      </c>
      <c r="AG25">
        <v>9531</v>
      </c>
      <c r="AH25">
        <v>14641</v>
      </c>
      <c r="AI25">
        <v>19007</v>
      </c>
      <c r="AJ25">
        <v>20996</v>
      </c>
      <c r="AL25">
        <v>4.6618038120422506E-2</v>
      </c>
      <c r="AM25">
        <v>0.1415922630101169</v>
      </c>
      <c r="AN25">
        <v>0.21750627664789862</v>
      </c>
      <c r="AO25">
        <v>0.28236744759556104</v>
      </c>
      <c r="AP25">
        <v>0.3119159746260009</v>
      </c>
    </row>
    <row r="26" spans="2:42">
      <c r="B26" s="100"/>
      <c r="C26" s="13">
        <v>2020</v>
      </c>
      <c r="D26">
        <v>7939</v>
      </c>
      <c r="E26">
        <v>25840</v>
      </c>
      <c r="F26">
        <v>39965</v>
      </c>
      <c r="G26">
        <v>53957</v>
      </c>
      <c r="H26">
        <v>57578</v>
      </c>
      <c r="J26" s="10">
        <f t="shared" si="8"/>
        <v>4.2848892750932378E-2</v>
      </c>
      <c r="K26" s="10">
        <f t="shared" si="8"/>
        <v>0.13946534685528311</v>
      </c>
      <c r="L26" s="10">
        <f t="shared" si="8"/>
        <v>0.21570172550585873</v>
      </c>
      <c r="M26" s="10">
        <f t="shared" si="8"/>
        <v>0.29122026781232629</v>
      </c>
      <c r="N26" s="10">
        <f t="shared" si="8"/>
        <v>0.3107637670755995</v>
      </c>
      <c r="P26" s="104"/>
      <c r="Q26" s="13">
        <v>2020</v>
      </c>
      <c r="R26">
        <f>[2]T5!B21-[3]T5!B21</f>
        <v>5307</v>
      </c>
      <c r="S26">
        <f>[2]T5!C21-[3]T5!C21</f>
        <v>17141</v>
      </c>
      <c r="T26">
        <f>[2]T5!D21-[3]T5!D21</f>
        <v>26790</v>
      </c>
      <c r="U26">
        <f>[2]T5!E21-[3]T5!E21</f>
        <v>35435</v>
      </c>
      <c r="V26">
        <f>[2]T5!F21-[3]T5!F21</f>
        <v>37961</v>
      </c>
      <c r="X26" s="10">
        <f t="shared" si="9"/>
        <v>4.3275111306815404E-2</v>
      </c>
      <c r="Y26" s="10">
        <f t="shared" si="9"/>
        <v>0.13977363537028883</v>
      </c>
      <c r="Z26" s="10">
        <f t="shared" si="9"/>
        <v>0.21845491462400313</v>
      </c>
      <c r="AA26" s="10">
        <f t="shared" si="9"/>
        <v>0.28894923104522402</v>
      </c>
      <c r="AB26" s="10">
        <f t="shared" si="9"/>
        <v>0.30954710765366866</v>
      </c>
      <c r="AD26" s="108"/>
      <c r="AE26" s="13">
        <v>2020</v>
      </c>
      <c r="AF26">
        <v>2632</v>
      </c>
      <c r="AG26">
        <v>8699</v>
      </c>
      <c r="AH26">
        <v>13175</v>
      </c>
      <c r="AI26">
        <v>18522</v>
      </c>
      <c r="AJ26">
        <v>19617</v>
      </c>
      <c r="AL26">
        <v>4.2014526298986353E-2</v>
      </c>
      <c r="AM26">
        <v>0.13886184052997047</v>
      </c>
      <c r="AN26">
        <v>0.21031207598371776</v>
      </c>
      <c r="AO26">
        <v>0.29566605475297308</v>
      </c>
      <c r="AP26">
        <v>0.3131455024343523</v>
      </c>
    </row>
    <row r="27" spans="2:42">
      <c r="B27" s="100"/>
      <c r="C27" s="13">
        <v>2021</v>
      </c>
      <c r="D27">
        <v>9808</v>
      </c>
      <c r="E27">
        <v>29274</v>
      </c>
      <c r="F27">
        <v>41556</v>
      </c>
      <c r="G27">
        <v>53139</v>
      </c>
      <c r="H27">
        <v>57680</v>
      </c>
      <c r="J27" s="10">
        <f t="shared" si="8"/>
        <v>5.1228213123573438E-2</v>
      </c>
      <c r="K27" s="10">
        <f t="shared" si="8"/>
        <v>0.15290117363167707</v>
      </c>
      <c r="L27" s="10">
        <f t="shared" si="8"/>
        <v>0.2170513483445369</v>
      </c>
      <c r="M27" s="10">
        <f t="shared" si="8"/>
        <v>0.27755057271345523</v>
      </c>
      <c r="N27" s="10">
        <f t="shared" si="8"/>
        <v>0.30126869218675734</v>
      </c>
      <c r="P27" s="104"/>
      <c r="Q27" s="13">
        <v>2021</v>
      </c>
      <c r="R27">
        <f>[2]T5!B22-[3]T5!B22</f>
        <v>6422</v>
      </c>
      <c r="S27">
        <f>[2]T5!C22-[3]T5!C22</f>
        <v>19332</v>
      </c>
      <c r="T27">
        <f>[2]T5!D22-[3]T5!D22</f>
        <v>27902</v>
      </c>
      <c r="U27">
        <f>[2]T5!E22-[3]T5!E22</f>
        <v>35576</v>
      </c>
      <c r="V27">
        <f>[2]T5!F22-[3]T5!F22</f>
        <v>38054</v>
      </c>
      <c r="X27" s="10">
        <f t="shared" si="9"/>
        <v>5.0453309869113651E-2</v>
      </c>
      <c r="Y27" s="10">
        <f t="shared" si="9"/>
        <v>0.15187844696195968</v>
      </c>
      <c r="Z27" s="10">
        <f t="shared" si="9"/>
        <v>0.21920713982684664</v>
      </c>
      <c r="AA27" s="10">
        <f t="shared" si="9"/>
        <v>0.27949656678660656</v>
      </c>
      <c r="AB27" s="10">
        <f t="shared" si="9"/>
        <v>0.2989645365554735</v>
      </c>
      <c r="AD27" s="108"/>
      <c r="AE27" s="13">
        <v>2021</v>
      </c>
      <c r="AF27">
        <v>3386</v>
      </c>
      <c r="AG27">
        <v>9942</v>
      </c>
      <c r="AH27">
        <v>13654</v>
      </c>
      <c r="AI27">
        <v>17563</v>
      </c>
      <c r="AJ27">
        <v>19626</v>
      </c>
      <c r="AL27">
        <v>5.2765267800096619E-2</v>
      </c>
      <c r="AM27">
        <v>0.15492979694877748</v>
      </c>
      <c r="AN27">
        <v>0.21277524115254554</v>
      </c>
      <c r="AO27">
        <v>0.27369060790699851</v>
      </c>
      <c r="AP27">
        <v>0.30583908619158184</v>
      </c>
    </row>
    <row r="28" spans="2:42">
      <c r="B28" s="100"/>
      <c r="C28" s="13">
        <v>2022</v>
      </c>
      <c r="D28">
        <v>9788</v>
      </c>
      <c r="E28">
        <v>28460</v>
      </c>
      <c r="F28">
        <v>39242</v>
      </c>
      <c r="G28">
        <v>48843</v>
      </c>
      <c r="H28">
        <v>52080</v>
      </c>
      <c r="J28" s="10">
        <f t="shared" si="8"/>
        <v>5.4861473098933376E-2</v>
      </c>
      <c r="K28" s="10">
        <f t="shared" si="8"/>
        <v>0.159517523947246</v>
      </c>
      <c r="L28" s="10">
        <f t="shared" si="8"/>
        <v>0.21995033994159618</v>
      </c>
      <c r="M28" s="10">
        <f t="shared" si="8"/>
        <v>0.27376368313968152</v>
      </c>
      <c r="N28" s="10">
        <f t="shared" si="8"/>
        <v>0.29190697987254294</v>
      </c>
      <c r="P28" s="104"/>
      <c r="Q28" s="13">
        <v>2022</v>
      </c>
      <c r="R28">
        <f>[2]T5!B23-[3]T5!B23</f>
        <v>6562</v>
      </c>
      <c r="S28">
        <f>[2]T5!C23-[3]T5!C23</f>
        <v>18918</v>
      </c>
      <c r="T28">
        <f>[2]T5!D23-[3]T5!D23</f>
        <v>26351</v>
      </c>
      <c r="U28">
        <f>[2]T5!E23-[3]T5!E23</f>
        <v>32797</v>
      </c>
      <c r="V28">
        <f>[2]T5!F23-[3]T5!F23</f>
        <v>34849</v>
      </c>
      <c r="X28" s="10">
        <f t="shared" si="9"/>
        <v>5.492270478836931E-2</v>
      </c>
      <c r="Y28" s="10">
        <f t="shared" si="9"/>
        <v>0.15834009893117504</v>
      </c>
      <c r="Z28" s="10">
        <f t="shared" si="9"/>
        <v>0.2205529097650594</v>
      </c>
      <c r="AA28" s="10">
        <f t="shared" si="9"/>
        <v>0.27450471638892843</v>
      </c>
      <c r="AB28" s="10">
        <f t="shared" si="9"/>
        <v>0.29167957012646784</v>
      </c>
      <c r="AD28" s="108"/>
      <c r="AE28" s="13">
        <v>2022</v>
      </c>
      <c r="AF28">
        <v>3226</v>
      </c>
      <c r="AG28">
        <v>9542</v>
      </c>
      <c r="AH28">
        <v>12891</v>
      </c>
      <c r="AI28">
        <v>16046</v>
      </c>
      <c r="AJ28">
        <v>17231</v>
      </c>
      <c r="AL28">
        <v>5.473734220171033E-2</v>
      </c>
      <c r="AM28">
        <v>0.16190443871318039</v>
      </c>
      <c r="AN28">
        <v>0.21872879055246369</v>
      </c>
      <c r="AO28">
        <v>0.27226143613411158</v>
      </c>
      <c r="AP28">
        <v>0.292367992398534</v>
      </c>
    </row>
    <row r="29" spans="2:42">
      <c r="B29" s="100"/>
      <c r="C29" s="13">
        <v>2023</v>
      </c>
      <c r="D29">
        <v>9352</v>
      </c>
      <c r="E29">
        <v>30696</v>
      </c>
      <c r="F29">
        <v>42490</v>
      </c>
      <c r="G29">
        <v>51477</v>
      </c>
      <c r="H29">
        <v>54325</v>
      </c>
      <c r="J29" s="10">
        <f t="shared" si="8"/>
        <v>4.965487947329298E-2</v>
      </c>
      <c r="K29" s="10">
        <f t="shared" si="8"/>
        <v>0.16298184135074864</v>
      </c>
      <c r="L29" s="10">
        <f t="shared" si="8"/>
        <v>0.2256026335350961</v>
      </c>
      <c r="M29" s="10">
        <f t="shared" si="8"/>
        <v>0.27331952851226504</v>
      </c>
      <c r="N29" s="10">
        <f t="shared" si="8"/>
        <v>0.28844111712859721</v>
      </c>
      <c r="P29" s="104"/>
      <c r="Q29" s="13">
        <v>2023</v>
      </c>
      <c r="R29">
        <f>[2]T5!B24-[3]T5!B24</f>
        <v>6289</v>
      </c>
      <c r="S29">
        <f>[2]T5!C24-[3]T5!C24</f>
        <v>20212</v>
      </c>
      <c r="T29">
        <f>[2]T5!D24-[3]T5!D24</f>
        <v>28200</v>
      </c>
      <c r="U29">
        <f>[2]T5!E24-[3]T5!E24</f>
        <v>33826</v>
      </c>
      <c r="V29">
        <f>[2]T5!F24-[3]T5!F24</f>
        <v>35959</v>
      </c>
      <c r="X29" s="10">
        <f t="shared" si="9"/>
        <v>5.0519737159198622E-2</v>
      </c>
      <c r="Y29" s="10">
        <f t="shared" si="9"/>
        <v>0.16236363928473885</v>
      </c>
      <c r="Z29" s="10">
        <f t="shared" si="9"/>
        <v>0.22653149751779317</v>
      </c>
      <c r="AA29" s="10">
        <f t="shared" si="9"/>
        <v>0.27172533457577558</v>
      </c>
      <c r="AB29" s="10">
        <f t="shared" si="9"/>
        <v>0.2888597914624938</v>
      </c>
      <c r="AD29" s="108"/>
      <c r="AE29" s="13">
        <v>2023</v>
      </c>
      <c r="AF29">
        <v>3063</v>
      </c>
      <c r="AG29">
        <v>10484</v>
      </c>
      <c r="AH29">
        <v>14290</v>
      </c>
      <c r="AI29">
        <v>17651</v>
      </c>
      <c r="AJ29">
        <v>18366</v>
      </c>
      <c r="AL29">
        <v>4.796880383374573E-2</v>
      </c>
      <c r="AM29">
        <v>0.16418705171171735</v>
      </c>
      <c r="AN29">
        <v>0.2237917749866884</v>
      </c>
      <c r="AO29">
        <v>0.27642747517774924</v>
      </c>
      <c r="AP29">
        <v>0.2876248942900993</v>
      </c>
    </row>
    <row r="30" spans="2:42">
      <c r="B30" s="100"/>
      <c r="C30" s="13">
        <v>2024</v>
      </c>
      <c r="D30">
        <v>9193</v>
      </c>
      <c r="E30">
        <v>28341</v>
      </c>
      <c r="F30">
        <v>44015</v>
      </c>
      <c r="G30">
        <v>53883</v>
      </c>
      <c r="H30">
        <v>55931</v>
      </c>
      <c r="J30" s="10">
        <f t="shared" si="8"/>
        <v>4.8039589680345732E-2</v>
      </c>
      <c r="K30" s="10">
        <f t="shared" si="8"/>
        <v>0.1481007300261806</v>
      </c>
      <c r="L30" s="10">
        <f t="shared" si="8"/>
        <v>0.2300078907625821</v>
      </c>
      <c r="M30" s="10">
        <f t="shared" si="8"/>
        <v>0.28157480808724777</v>
      </c>
      <c r="N30" s="10">
        <f t="shared" si="8"/>
        <v>0.29227698144364378</v>
      </c>
      <c r="P30" s="104"/>
      <c r="Q30" s="13">
        <v>2024</v>
      </c>
      <c r="R30">
        <f>[2]T5!B25-[3]T5!B25</f>
        <v>6052</v>
      </c>
      <c r="S30">
        <f>[2]T5!C25-[3]T5!C25</f>
        <v>18638</v>
      </c>
      <c r="T30">
        <f>[2]T5!D25-[3]T5!D25</f>
        <v>28812</v>
      </c>
      <c r="U30">
        <f>[2]T5!E25-[3]T5!E25</f>
        <v>35436</v>
      </c>
      <c r="V30">
        <f>[2]T5!F25-[3]T5!F25</f>
        <v>36370</v>
      </c>
      <c r="X30" s="10">
        <f t="shared" si="9"/>
        <v>4.8296996201359847E-2</v>
      </c>
      <c r="Y30" s="10">
        <f t="shared" si="9"/>
        <v>0.14873751077345421</v>
      </c>
      <c r="Z30" s="10">
        <f t="shared" si="9"/>
        <v>0.22992945382577329</v>
      </c>
      <c r="AA30" s="10">
        <f t="shared" si="9"/>
        <v>0.28279120247709644</v>
      </c>
      <c r="AB30" s="10">
        <f t="shared" si="9"/>
        <v>0.29024483672231621</v>
      </c>
      <c r="AD30" s="108"/>
      <c r="AE30" s="13">
        <v>2024</v>
      </c>
      <c r="AF30">
        <v>3141</v>
      </c>
      <c r="AG30">
        <v>9703</v>
      </c>
      <c r="AH30">
        <v>15203</v>
      </c>
      <c r="AI30">
        <v>18447</v>
      </c>
      <c r="AJ30">
        <v>19561</v>
      </c>
      <c r="AL30">
        <v>4.7551283021724323E-2</v>
      </c>
      <c r="AM30">
        <v>0.14689274089773674</v>
      </c>
      <c r="AN30">
        <v>0.23015668760881083</v>
      </c>
      <c r="AO30">
        <v>0.27926727726894257</v>
      </c>
      <c r="AP30">
        <v>0.29613201120278554</v>
      </c>
    </row>
    <row r="31" spans="2:42">
      <c r="B31" s="100"/>
      <c r="P31" s="104"/>
      <c r="AD31" s="108"/>
    </row>
    <row r="32" spans="2:42">
      <c r="B32" s="100"/>
      <c r="C32" s="40" t="s">
        <v>260</v>
      </c>
      <c r="P32" s="104"/>
      <c r="Q32" s="40" t="s">
        <v>260</v>
      </c>
      <c r="AD32" s="108"/>
      <c r="AE32" s="40" t="s">
        <v>260</v>
      </c>
    </row>
    <row r="33" spans="2:42">
      <c r="B33" s="100"/>
      <c r="C33" s="13"/>
      <c r="D33" s="13" t="s">
        <v>255</v>
      </c>
      <c r="E33" s="13" t="s">
        <v>256</v>
      </c>
      <c r="F33" s="13" t="s">
        <v>257</v>
      </c>
      <c r="G33" s="13" t="s">
        <v>258</v>
      </c>
      <c r="H33" s="13" t="s">
        <v>259</v>
      </c>
      <c r="I33" s="13" t="s">
        <v>261</v>
      </c>
      <c r="P33" s="104"/>
      <c r="Q33" s="13"/>
      <c r="R33" s="13" t="s">
        <v>255</v>
      </c>
      <c r="S33" s="13" t="s">
        <v>256</v>
      </c>
      <c r="T33" s="13" t="s">
        <v>257</v>
      </c>
      <c r="U33" s="13" t="s">
        <v>258</v>
      </c>
      <c r="V33" s="13" t="s">
        <v>259</v>
      </c>
      <c r="W33" s="13" t="s">
        <v>261</v>
      </c>
      <c r="Y33" s="13"/>
      <c r="AD33" s="108"/>
      <c r="AE33" s="13"/>
      <c r="AF33" s="13" t="s">
        <v>255</v>
      </c>
      <c r="AG33" s="13" t="s">
        <v>256</v>
      </c>
      <c r="AH33" s="13" t="s">
        <v>257</v>
      </c>
      <c r="AI33" s="13" t="s">
        <v>258</v>
      </c>
      <c r="AJ33" s="13" t="s">
        <v>259</v>
      </c>
      <c r="AK33" s="13" t="s">
        <v>261</v>
      </c>
    </row>
    <row r="34" spans="2:42">
      <c r="B34" s="100"/>
      <c r="C34" s="13">
        <v>2015</v>
      </c>
      <c r="D34" s="10">
        <f>D21/D8</f>
        <v>0.16602683879735008</v>
      </c>
      <c r="E34" s="10">
        <f t="shared" ref="E34:H34" si="10">E21/E8</f>
        <v>0.44581497797356828</v>
      </c>
      <c r="F34" s="10">
        <f t="shared" si="10"/>
        <v>0.657856093979442</v>
      </c>
      <c r="G34" s="10">
        <f t="shared" si="10"/>
        <v>0.91804643714971979</v>
      </c>
      <c r="H34" s="10">
        <f t="shared" si="10"/>
        <v>0.96498899024850582</v>
      </c>
      <c r="I34" s="5">
        <f t="shared" ref="I34:I43" si="11">SUM(D21:H21)/SUM(D8:H8)</f>
        <v>0.63920579273287248</v>
      </c>
      <c r="P34" s="104"/>
      <c r="Q34" s="13">
        <v>2015</v>
      </c>
      <c r="R34" s="10">
        <f>R21/R8</f>
        <v>0.16925724877532106</v>
      </c>
      <c r="S34" s="10">
        <f t="shared" ref="S34:V34" si="12">S21/S8</f>
        <v>0.46692195959329197</v>
      </c>
      <c r="T34" s="10">
        <f t="shared" si="12"/>
        <v>0.68611393692777212</v>
      </c>
      <c r="U34" s="10">
        <f t="shared" si="12"/>
        <v>0.94319231249220015</v>
      </c>
      <c r="V34" s="10">
        <f t="shared" si="12"/>
        <v>0.98808531502819319</v>
      </c>
      <c r="W34" s="5">
        <f t="shared" ref="W34:W43" si="13">SUM(R21:V21)/SUM(R8:V8)</f>
        <v>0.65954904113786672</v>
      </c>
      <c r="Y34" s="12"/>
      <c r="AD34" s="108"/>
      <c r="AE34" s="13">
        <v>2015</v>
      </c>
      <c r="AF34" s="10">
        <f>AF21/AF8</f>
        <v>0.16024638711205874</v>
      </c>
      <c r="AG34" s="10">
        <f t="shared" ref="AG34:AJ34" si="14">AG21/AG8</f>
        <v>0.40803592531316474</v>
      </c>
      <c r="AH34" s="10">
        <f t="shared" si="14"/>
        <v>0.60728265817023208</v>
      </c>
      <c r="AI34" s="10">
        <f t="shared" si="14"/>
        <v>0.87303998213089118</v>
      </c>
      <c r="AJ34" s="10">
        <f t="shared" si="14"/>
        <v>0.92365072400175519</v>
      </c>
      <c r="AK34" s="5">
        <f t="shared" ref="AK34:AK43" si="15">SUM(AF21:AJ21)/SUM(AF8:AJ8)</f>
        <v>0.60279694712307486</v>
      </c>
    </row>
    <row r="35" spans="2:42">
      <c r="B35" s="100"/>
      <c r="C35" s="13">
        <v>2016</v>
      </c>
      <c r="D35" s="10">
        <f t="shared" ref="D35:H43" si="16">D22/D9</f>
        <v>0.16962962962962963</v>
      </c>
      <c r="E35" s="10">
        <f t="shared" si="16"/>
        <v>0.47130142737195635</v>
      </c>
      <c r="F35" s="10">
        <f t="shared" si="16"/>
        <v>0.68772924308102701</v>
      </c>
      <c r="G35" s="10">
        <f t="shared" si="16"/>
        <v>0.93736386931454196</v>
      </c>
      <c r="H35" s="10">
        <f t="shared" si="16"/>
        <v>0.97240290495737292</v>
      </c>
      <c r="I35" s="5">
        <f t="shared" si="11"/>
        <v>0.65476354566637129</v>
      </c>
      <c r="P35" s="104"/>
      <c r="Q35" s="13">
        <v>2016</v>
      </c>
      <c r="R35" s="10">
        <f t="shared" ref="R35:V43" si="17">R22/R9</f>
        <v>0.18248654325850072</v>
      </c>
      <c r="S35" s="10">
        <f t="shared" si="17"/>
        <v>0.49028287061288633</v>
      </c>
      <c r="T35" s="10">
        <f t="shared" si="17"/>
        <v>0.71894422051748796</v>
      </c>
      <c r="U35" s="10">
        <f t="shared" si="17"/>
        <v>0.96120894217559638</v>
      </c>
      <c r="V35" s="10">
        <f t="shared" si="17"/>
        <v>0.99413937453829104</v>
      </c>
      <c r="W35" s="5">
        <f t="shared" si="13"/>
        <v>0.67652854912599492</v>
      </c>
      <c r="Y35" s="12"/>
      <c r="AD35" s="108"/>
      <c r="AE35" s="13">
        <v>2016</v>
      </c>
      <c r="AF35" s="10">
        <f t="shared" ref="AF35:AJ43" si="18">AF22/AF9</f>
        <v>0.14665728360309641</v>
      </c>
      <c r="AG35" s="10">
        <f t="shared" si="18"/>
        <v>0.43738886289190454</v>
      </c>
      <c r="AH35" s="10">
        <f t="shared" si="18"/>
        <v>0.63196283391405339</v>
      </c>
      <c r="AI35" s="10">
        <f t="shared" si="18"/>
        <v>0.89475563490292342</v>
      </c>
      <c r="AJ35" s="10">
        <f t="shared" si="18"/>
        <v>0.93356797184337881</v>
      </c>
      <c r="AK35" s="5">
        <f t="shared" si="15"/>
        <v>0.61587635465727741</v>
      </c>
    </row>
    <row r="36" spans="2:42">
      <c r="B36" s="100"/>
      <c r="C36" s="13">
        <v>2017</v>
      </c>
      <c r="D36" s="10">
        <f t="shared" si="16"/>
        <v>0.17537822111388196</v>
      </c>
      <c r="E36" s="10">
        <f t="shared" si="16"/>
        <v>0.4746873436718359</v>
      </c>
      <c r="F36" s="10">
        <f t="shared" si="16"/>
        <v>0.69953917050691239</v>
      </c>
      <c r="G36" s="10">
        <f t="shared" si="16"/>
        <v>0.93252696959790782</v>
      </c>
      <c r="H36" s="10">
        <f t="shared" si="16"/>
        <v>0.97325874566656156</v>
      </c>
      <c r="I36" s="5">
        <f t="shared" si="11"/>
        <v>0.65571811992668239</v>
      </c>
      <c r="P36" s="104"/>
      <c r="Q36" s="13">
        <v>2017</v>
      </c>
      <c r="R36" s="10">
        <f t="shared" si="17"/>
        <v>0.18259182617692707</v>
      </c>
      <c r="S36" s="10">
        <f t="shared" si="17"/>
        <v>0.49827474380594111</v>
      </c>
      <c r="T36" s="10">
        <f t="shared" si="17"/>
        <v>0.72140845070422532</v>
      </c>
      <c r="U36" s="10">
        <f t="shared" si="17"/>
        <v>0.95562054933875895</v>
      </c>
      <c r="V36" s="10">
        <f t="shared" si="17"/>
        <v>0.98972661517714844</v>
      </c>
      <c r="W36" s="5">
        <f t="shared" si="13"/>
        <v>0.67415461397433285</v>
      </c>
      <c r="Y36" s="12"/>
      <c r="AD36" s="108"/>
      <c r="AE36" s="13">
        <v>2017</v>
      </c>
      <c r="AF36" s="10">
        <f t="shared" si="18"/>
        <v>0.16240111679851094</v>
      </c>
      <c r="AG36" s="10">
        <f t="shared" si="18"/>
        <v>0.43225204200700118</v>
      </c>
      <c r="AH36" s="10">
        <f t="shared" si="18"/>
        <v>0.66020267157991708</v>
      </c>
      <c r="AI36" s="10">
        <f t="shared" si="18"/>
        <v>0.89098810612991763</v>
      </c>
      <c r="AJ36" s="10">
        <f t="shared" si="18"/>
        <v>0.94363836824696801</v>
      </c>
      <c r="AK36" s="5">
        <f t="shared" si="15"/>
        <v>0.62255404910223522</v>
      </c>
    </row>
    <row r="37" spans="2:42">
      <c r="B37" s="100"/>
      <c r="C37" s="13">
        <v>2018</v>
      </c>
      <c r="D37" s="10">
        <f t="shared" si="16"/>
        <v>0.16022173693935832</v>
      </c>
      <c r="E37" s="10">
        <f t="shared" si="16"/>
        <v>0.47463648380700596</v>
      </c>
      <c r="F37" s="10">
        <f t="shared" si="16"/>
        <v>0.69512235178190174</v>
      </c>
      <c r="G37" s="10">
        <f t="shared" si="16"/>
        <v>0.91669360051712989</v>
      </c>
      <c r="H37" s="10">
        <f t="shared" si="16"/>
        <v>0.95925092428869951</v>
      </c>
      <c r="I37" s="5">
        <f t="shared" si="11"/>
        <v>0.64580205225715503</v>
      </c>
      <c r="P37" s="104"/>
      <c r="Q37" s="13">
        <v>2018</v>
      </c>
      <c r="R37" s="10">
        <f t="shared" si="17"/>
        <v>0.16667531120331949</v>
      </c>
      <c r="S37" s="10">
        <f t="shared" si="17"/>
        <v>0.48458104833567145</v>
      </c>
      <c r="T37" s="10">
        <f t="shared" si="17"/>
        <v>0.71540119153251358</v>
      </c>
      <c r="U37" s="10">
        <f t="shared" si="17"/>
        <v>0.920643632281402</v>
      </c>
      <c r="V37" s="10">
        <f t="shared" si="17"/>
        <v>0.96602977667493795</v>
      </c>
      <c r="W37" s="5">
        <f t="shared" si="13"/>
        <v>0.65527467800298589</v>
      </c>
      <c r="Y37" s="12"/>
      <c r="AD37" s="108"/>
      <c r="AE37" s="13">
        <v>2018</v>
      </c>
      <c r="AF37" s="10">
        <f t="shared" si="18"/>
        <v>0.14835479256080114</v>
      </c>
      <c r="AG37" s="10">
        <f t="shared" si="18"/>
        <v>0.4563452967393854</v>
      </c>
      <c r="AH37" s="10">
        <f t="shared" si="18"/>
        <v>0.65782233620890651</v>
      </c>
      <c r="AI37" s="10">
        <f t="shared" si="18"/>
        <v>0.9094287680660702</v>
      </c>
      <c r="AJ37" s="10">
        <f t="shared" si="18"/>
        <v>0.94678229119123691</v>
      </c>
      <c r="AK37" s="5">
        <f t="shared" si="15"/>
        <v>0.62837995066784569</v>
      </c>
    </row>
    <row r="38" spans="2:42">
      <c r="B38" s="100"/>
      <c r="C38" s="13">
        <v>2019</v>
      </c>
      <c r="D38" s="10">
        <f t="shared" si="16"/>
        <v>0.15625419181757211</v>
      </c>
      <c r="E38" s="10">
        <f t="shared" si="16"/>
        <v>0.47225104602510459</v>
      </c>
      <c r="F38" s="10">
        <f t="shared" si="16"/>
        <v>0.69548050252896065</v>
      </c>
      <c r="G38" s="10">
        <f t="shared" si="16"/>
        <v>0.89962777148405892</v>
      </c>
      <c r="H38" s="10">
        <f t="shared" si="16"/>
        <v>0.94223671651288576</v>
      </c>
      <c r="I38" s="5">
        <f t="shared" si="11"/>
        <v>0.63858448236334453</v>
      </c>
      <c r="P38" s="104"/>
      <c r="Q38" s="13">
        <v>2019</v>
      </c>
      <c r="R38" s="10">
        <f t="shared" si="17"/>
        <v>0.16000517732332384</v>
      </c>
      <c r="S38" s="10">
        <f t="shared" si="17"/>
        <v>0.48284237726098189</v>
      </c>
      <c r="T38" s="10">
        <f t="shared" si="17"/>
        <v>0.704911838790932</v>
      </c>
      <c r="U38" s="10">
        <f t="shared" si="17"/>
        <v>0.91395377888819485</v>
      </c>
      <c r="V38" s="10">
        <f t="shared" si="17"/>
        <v>0.93903966597077249</v>
      </c>
      <c r="W38" s="5">
        <f t="shared" si="13"/>
        <v>0.64552763310916716</v>
      </c>
      <c r="Y38" s="12"/>
      <c r="AD38" s="108"/>
      <c r="AE38" s="13">
        <v>2019</v>
      </c>
      <c r="AF38" s="10">
        <f t="shared" si="18"/>
        <v>0.14935744883388863</v>
      </c>
      <c r="AG38" s="10">
        <f t="shared" si="18"/>
        <v>0.45277909738717342</v>
      </c>
      <c r="AH38" s="10">
        <f t="shared" si="18"/>
        <v>0.67813802686428903</v>
      </c>
      <c r="AI38" s="10">
        <f t="shared" si="18"/>
        <v>0.87328279347576387</v>
      </c>
      <c r="AJ38" s="10">
        <f t="shared" si="18"/>
        <v>0.94811469857755704</v>
      </c>
      <c r="AK38" s="5">
        <f t="shared" si="15"/>
        <v>0.6258181480104128</v>
      </c>
    </row>
    <row r="39" spans="2:42">
      <c r="B39" s="100"/>
      <c r="C39" s="13">
        <v>2020</v>
      </c>
      <c r="D39" s="10">
        <f t="shared" si="16"/>
        <v>0.13381088825214899</v>
      </c>
      <c r="E39" s="10">
        <f t="shared" si="16"/>
        <v>0.43009320905459386</v>
      </c>
      <c r="F39" s="10">
        <f t="shared" si="16"/>
        <v>0.65937964032337903</v>
      </c>
      <c r="G39" s="10">
        <f t="shared" si="16"/>
        <v>0.86455696202531651</v>
      </c>
      <c r="H39" s="10">
        <f t="shared" si="16"/>
        <v>0.91728532738569379</v>
      </c>
      <c r="I39" s="5">
        <f t="shared" si="11"/>
        <v>0.60707404980340762</v>
      </c>
      <c r="P39" s="104"/>
      <c r="Q39" s="13">
        <v>2020</v>
      </c>
      <c r="R39" s="10">
        <f t="shared" si="17"/>
        <v>0.13777258566978193</v>
      </c>
      <c r="S39" s="10">
        <f t="shared" si="17"/>
        <v>0.43940015380671621</v>
      </c>
      <c r="T39" s="10">
        <f t="shared" si="17"/>
        <v>0.68072671833312159</v>
      </c>
      <c r="U39" s="10">
        <f t="shared" si="17"/>
        <v>0.87450641658440276</v>
      </c>
      <c r="V39" s="10">
        <f t="shared" si="17"/>
        <v>0.93144399460188931</v>
      </c>
      <c r="W39" s="5">
        <f t="shared" si="13"/>
        <v>0.61886354461041582</v>
      </c>
      <c r="Y39" s="12"/>
      <c r="AD39" s="108"/>
      <c r="AE39" s="13">
        <v>2020</v>
      </c>
      <c r="AF39" s="10">
        <f t="shared" si="18"/>
        <v>0.12647765497357039</v>
      </c>
      <c r="AG39" s="10">
        <f t="shared" si="18"/>
        <v>0.41286188894162318</v>
      </c>
      <c r="AH39" s="10">
        <f t="shared" si="18"/>
        <v>0.61985415196424376</v>
      </c>
      <c r="AI39" s="10">
        <f t="shared" si="18"/>
        <v>0.84613978985838278</v>
      </c>
      <c r="AJ39" s="10">
        <f t="shared" si="18"/>
        <v>0.89107426754485575</v>
      </c>
      <c r="AK39" s="5">
        <f t="shared" si="15"/>
        <v>0.58524850523168914</v>
      </c>
    </row>
    <row r="40" spans="2:42">
      <c r="B40" s="100"/>
      <c r="C40" s="13">
        <v>2021</v>
      </c>
      <c r="D40" s="10">
        <f t="shared" si="16"/>
        <v>0.16115675320407494</v>
      </c>
      <c r="E40" s="10">
        <f t="shared" si="16"/>
        <v>0.49183467741935483</v>
      </c>
      <c r="F40" s="10">
        <f t="shared" si="16"/>
        <v>0.68778550148957296</v>
      </c>
      <c r="G40" s="10">
        <f t="shared" si="16"/>
        <v>0.87213195470211713</v>
      </c>
      <c r="H40" s="10">
        <f t="shared" si="16"/>
        <v>0.9208173690932312</v>
      </c>
      <c r="I40" s="5">
        <f t="shared" si="11"/>
        <v>0.62902717087755033</v>
      </c>
      <c r="P40" s="104"/>
      <c r="Q40" s="13">
        <v>2021</v>
      </c>
      <c r="R40" s="10">
        <f t="shared" si="17"/>
        <v>0.16174285354489359</v>
      </c>
      <c r="S40" s="10">
        <f t="shared" si="17"/>
        <v>0.49779837775202779</v>
      </c>
      <c r="T40" s="10">
        <f t="shared" si="17"/>
        <v>0.70781329274479965</v>
      </c>
      <c r="U40" s="10">
        <f t="shared" si="17"/>
        <v>0.89488114702553134</v>
      </c>
      <c r="V40" s="10">
        <f t="shared" si="17"/>
        <v>0.93109860533398581</v>
      </c>
      <c r="W40" s="5">
        <f t="shared" si="13"/>
        <v>0.64096482614497574</v>
      </c>
      <c r="Y40" s="12"/>
      <c r="AD40" s="108"/>
      <c r="AE40" s="13">
        <v>2021</v>
      </c>
      <c r="AF40" s="10">
        <f t="shared" si="18"/>
        <v>0.16005672417868116</v>
      </c>
      <c r="AG40" s="10">
        <f t="shared" si="18"/>
        <v>0.480638143582306</v>
      </c>
      <c r="AH40" s="10">
        <f t="shared" si="18"/>
        <v>0.65019047619047621</v>
      </c>
      <c r="AI40" s="10">
        <f t="shared" si="18"/>
        <v>0.82942148760330581</v>
      </c>
      <c r="AJ40" s="10">
        <f t="shared" si="18"/>
        <v>0.90151584749655489</v>
      </c>
      <c r="AK40" s="5">
        <f t="shared" si="15"/>
        <v>0.60661719525452573</v>
      </c>
    </row>
    <row r="41" spans="2:42">
      <c r="B41" s="100"/>
      <c r="C41" s="13">
        <v>2022</v>
      </c>
      <c r="D41" s="10">
        <f t="shared" si="16"/>
        <v>0.16221411998674179</v>
      </c>
      <c r="E41" s="10">
        <f t="shared" si="16"/>
        <v>0.46870882740447956</v>
      </c>
      <c r="F41" s="10">
        <f t="shared" si="16"/>
        <v>0.65765041059158702</v>
      </c>
      <c r="G41" s="10">
        <f t="shared" si="16"/>
        <v>0.80281065088757397</v>
      </c>
      <c r="H41" s="10">
        <f t="shared" si="16"/>
        <v>0.85153695225637671</v>
      </c>
      <c r="I41" s="5">
        <f t="shared" si="11"/>
        <v>0.58934694282033495</v>
      </c>
      <c r="P41" s="104"/>
      <c r="Q41" s="13">
        <v>2022</v>
      </c>
      <c r="R41" s="10">
        <f t="shared" si="17"/>
        <v>0.16576986232158647</v>
      </c>
      <c r="S41" s="10">
        <f t="shared" si="17"/>
        <v>0.47490899962344674</v>
      </c>
      <c r="T41" s="10">
        <f t="shared" si="17"/>
        <v>0.67316387788989651</v>
      </c>
      <c r="U41" s="10">
        <f t="shared" si="17"/>
        <v>0.82167105098333959</v>
      </c>
      <c r="V41" s="10">
        <f t="shared" si="17"/>
        <v>0.86851090342679127</v>
      </c>
      <c r="W41" s="5">
        <f t="shared" si="13"/>
        <v>0.60158102766798416</v>
      </c>
      <c r="Y41" s="12"/>
      <c r="AD41" s="108"/>
      <c r="AE41" s="13">
        <v>2022</v>
      </c>
      <c r="AF41" s="10">
        <f t="shared" si="18"/>
        <v>0.1554324259214647</v>
      </c>
      <c r="AG41" s="10">
        <f t="shared" si="18"/>
        <v>0.45688293033277472</v>
      </c>
      <c r="AH41" s="10">
        <f t="shared" si="18"/>
        <v>0.62806333739342268</v>
      </c>
      <c r="AI41" s="10">
        <f t="shared" si="18"/>
        <v>0.76683393070489847</v>
      </c>
      <c r="AJ41" s="10">
        <f t="shared" si="18"/>
        <v>0.81915854528167342</v>
      </c>
      <c r="AK41" s="5">
        <f t="shared" si="15"/>
        <v>0.56601200480192082</v>
      </c>
    </row>
    <row r="42" spans="2:42">
      <c r="B42" s="100"/>
      <c r="C42" s="13">
        <v>2023</v>
      </c>
      <c r="D42" s="10">
        <f t="shared" si="16"/>
        <v>0.16453201970443349</v>
      </c>
      <c r="E42" s="10">
        <f t="shared" si="16"/>
        <v>0.50495147228162529</v>
      </c>
      <c r="F42" s="10">
        <f t="shared" si="16"/>
        <v>0.69100666775085384</v>
      </c>
      <c r="G42" s="10">
        <f t="shared" si="16"/>
        <v>0.84610453648915185</v>
      </c>
      <c r="H42" s="10">
        <f t="shared" si="16"/>
        <v>0.87129109863672816</v>
      </c>
      <c r="I42" s="5">
        <f t="shared" si="11"/>
        <v>0.62300287784062713</v>
      </c>
      <c r="P42" s="104"/>
      <c r="Q42" s="13">
        <v>2023</v>
      </c>
      <c r="R42" s="10">
        <f t="shared" si="17"/>
        <v>0.16933225632740981</v>
      </c>
      <c r="S42" s="10">
        <f t="shared" si="17"/>
        <v>0.5088620342396778</v>
      </c>
      <c r="T42" s="10">
        <f t="shared" si="17"/>
        <v>0.70184171229467396</v>
      </c>
      <c r="U42" s="10">
        <f t="shared" si="17"/>
        <v>0.85086152685196825</v>
      </c>
      <c r="V42" s="10">
        <f t="shared" si="17"/>
        <v>0.88264604810996561</v>
      </c>
      <c r="W42" s="5">
        <f t="shared" si="13"/>
        <v>0.63019718024653859</v>
      </c>
      <c r="Y42" s="12"/>
      <c r="AD42" s="108"/>
      <c r="AE42" s="13">
        <v>2023</v>
      </c>
      <c r="AF42" s="10">
        <f t="shared" si="18"/>
        <v>0.15548223350253806</v>
      </c>
      <c r="AG42" s="10">
        <f t="shared" si="18"/>
        <v>0.49757949691504511</v>
      </c>
      <c r="AH42" s="10">
        <f t="shared" si="18"/>
        <v>0.670577193805725</v>
      </c>
      <c r="AI42" s="10">
        <f t="shared" si="18"/>
        <v>0.83713540431586431</v>
      </c>
      <c r="AJ42" s="10">
        <f t="shared" si="18"/>
        <v>0.8498843128181397</v>
      </c>
      <c r="AK42" s="5">
        <f t="shared" si="15"/>
        <v>0.60943927463612502</v>
      </c>
    </row>
    <row r="43" spans="2:42">
      <c r="B43" s="100"/>
      <c r="C43" s="13">
        <v>2024</v>
      </c>
      <c r="D43" s="10">
        <f t="shared" si="16"/>
        <v>0.16108288067285789</v>
      </c>
      <c r="E43" s="10">
        <f t="shared" si="16"/>
        <v>0.49555866410211574</v>
      </c>
      <c r="F43" s="10">
        <f t="shared" si="16"/>
        <v>0.71337115072933555</v>
      </c>
      <c r="G43" s="10">
        <f t="shared" si="16"/>
        <v>0.86199008158694612</v>
      </c>
      <c r="H43" s="10">
        <f t="shared" si="16"/>
        <v>0.89877872408806037</v>
      </c>
      <c r="I43" s="5">
        <f t="shared" si="11"/>
        <v>0.63639175257731961</v>
      </c>
      <c r="P43" s="104"/>
      <c r="Q43" s="13">
        <v>2024</v>
      </c>
      <c r="R43" s="10">
        <f t="shared" si="17"/>
        <v>0.16310470287023313</v>
      </c>
      <c r="S43" s="10">
        <f t="shared" si="17"/>
        <v>0.50122361167137286</v>
      </c>
      <c r="T43" s="10">
        <f t="shared" si="17"/>
        <v>0.71823507416178489</v>
      </c>
      <c r="U43" s="10">
        <f t="shared" si="17"/>
        <v>0.87184155492680526</v>
      </c>
      <c r="V43" s="10">
        <f t="shared" si="17"/>
        <v>0.89891250617894214</v>
      </c>
      <c r="W43" s="5">
        <f t="shared" si="13"/>
        <v>0.64092885274410516</v>
      </c>
      <c r="Y43" s="12"/>
      <c r="AD43" s="108"/>
      <c r="AE43" s="13">
        <v>2024</v>
      </c>
      <c r="AF43" s="10">
        <f t="shared" si="18"/>
        <v>0.15732531930879037</v>
      </c>
      <c r="AG43" s="10">
        <f t="shared" si="18"/>
        <v>0.48502874281429642</v>
      </c>
      <c r="AH43" s="10">
        <f t="shared" si="18"/>
        <v>0.70433171183692378</v>
      </c>
      <c r="AI43" s="10">
        <f t="shared" si="18"/>
        <v>0.84367710953578778</v>
      </c>
      <c r="AJ43" s="10">
        <f t="shared" si="18"/>
        <v>0.89853008727606798</v>
      </c>
      <c r="AK43" s="5">
        <f t="shared" si="15"/>
        <v>0.62795893145736281</v>
      </c>
    </row>
    <row r="44" spans="2:42">
      <c r="B44" s="100"/>
      <c r="P44" s="104"/>
      <c r="AD44" s="108"/>
    </row>
    <row r="45" spans="2:42">
      <c r="B45" s="100"/>
      <c r="C45" s="13" t="s">
        <v>198</v>
      </c>
      <c r="D45" s="12">
        <f>MIN(D34:D43)</f>
        <v>0.13381088825214899</v>
      </c>
      <c r="E45" s="12">
        <f t="shared" ref="E45:I45" si="19">MIN(E34:E43)</f>
        <v>0.43009320905459386</v>
      </c>
      <c r="F45" s="12">
        <f t="shared" si="19"/>
        <v>0.65765041059158702</v>
      </c>
      <c r="G45" s="12">
        <f t="shared" si="19"/>
        <v>0.80281065088757397</v>
      </c>
      <c r="H45" s="12">
        <f t="shared" si="19"/>
        <v>0.85153695225637671</v>
      </c>
      <c r="I45" s="12">
        <f t="shared" si="19"/>
        <v>0.58934694282033495</v>
      </c>
      <c r="J45" s="12">
        <f>MIN(J21:J29)</f>
        <v>4.2848892750932378E-2</v>
      </c>
      <c r="K45" s="12">
        <f t="shared" ref="K45:N45" si="20">MIN(K21:K29)</f>
        <v>0.13486970249933364</v>
      </c>
      <c r="L45" s="12">
        <f t="shared" si="20"/>
        <v>0.20667172410965085</v>
      </c>
      <c r="M45" s="12">
        <f t="shared" si="20"/>
        <v>0.27331952851226504</v>
      </c>
      <c r="N45" s="12">
        <f t="shared" si="20"/>
        <v>0.28844111712859721</v>
      </c>
      <c r="P45" s="104"/>
      <c r="Q45" s="13" t="s">
        <v>198</v>
      </c>
      <c r="R45" s="12">
        <f>MIN(R34:R43)</f>
        <v>0.13777258566978193</v>
      </c>
      <c r="S45" s="12">
        <f t="shared" ref="S45:W45" si="21">MIN(S34:S43)</f>
        <v>0.43940015380671621</v>
      </c>
      <c r="T45" s="12">
        <f t="shared" si="21"/>
        <v>0.67316387788989651</v>
      </c>
      <c r="U45" s="12">
        <f t="shared" si="21"/>
        <v>0.82167105098333959</v>
      </c>
      <c r="V45" s="12">
        <f t="shared" si="21"/>
        <v>0.86851090342679127</v>
      </c>
      <c r="W45" s="12">
        <f t="shared" si="21"/>
        <v>0.60158102766798416</v>
      </c>
      <c r="X45" s="12">
        <f>MIN(X21:X29)</f>
        <v>4.3275111306815404E-2</v>
      </c>
      <c r="Y45" s="12">
        <f t="shared" ref="Y45:AB45" si="22">MIN(Y21:Y29)</f>
        <v>0.13690250342643426</v>
      </c>
      <c r="Z45" s="12">
        <f t="shared" si="22"/>
        <v>0.20890021139357146</v>
      </c>
      <c r="AA45" s="12">
        <f t="shared" si="22"/>
        <v>0.27172533457577558</v>
      </c>
      <c r="AB45" s="12">
        <f t="shared" si="22"/>
        <v>0.2888597914624938</v>
      </c>
      <c r="AD45" s="108"/>
      <c r="AE45" s="13" t="s">
        <v>198</v>
      </c>
      <c r="AF45" s="12">
        <f>MIN(AF34:AF43)</f>
        <v>0.12647765497357039</v>
      </c>
      <c r="AG45" s="12">
        <f t="shared" ref="AG45:AK45" si="23">MIN(AG34:AG43)</f>
        <v>0.40803592531316474</v>
      </c>
      <c r="AH45" s="12">
        <f t="shared" si="23"/>
        <v>0.60728265817023208</v>
      </c>
      <c r="AI45" s="12">
        <f t="shared" si="23"/>
        <v>0.76683393070489847</v>
      </c>
      <c r="AJ45" s="12">
        <f t="shared" si="23"/>
        <v>0.81915854528167342</v>
      </c>
      <c r="AK45" s="12">
        <f t="shared" si="23"/>
        <v>0.56601200480192082</v>
      </c>
      <c r="AL45" s="12">
        <f>MIN(AL21:AL29)</f>
        <v>4.2014526298986353E-2</v>
      </c>
      <c r="AM45" s="12">
        <f t="shared" ref="AM45:AP45" si="24">MIN(AM21:AM29)</f>
        <v>0.13088902030356792</v>
      </c>
      <c r="AN45" s="12">
        <f t="shared" si="24"/>
        <v>0.20199575308495316</v>
      </c>
      <c r="AO45" s="12">
        <f t="shared" si="24"/>
        <v>0.27226143613411158</v>
      </c>
      <c r="AP45" s="12">
        <f t="shared" si="24"/>
        <v>0.2876248942900993</v>
      </c>
    </row>
    <row r="46" spans="2:42">
      <c r="B46" s="100"/>
      <c r="C46" s="13" t="s">
        <v>203</v>
      </c>
      <c r="D46" s="12">
        <f>MEDIAN(D34:D43)</f>
        <v>0.16168543659540835</v>
      </c>
      <c r="E46" s="12">
        <f t="shared" ref="E46:I46" si="25">MEDIAN(E34:E43)</f>
        <v>0.47344376491605528</v>
      </c>
      <c r="F46" s="12">
        <f t="shared" si="25"/>
        <v>0.6893960846202134</v>
      </c>
      <c r="G46" s="12">
        <f t="shared" si="25"/>
        <v>0.88587986309308797</v>
      </c>
      <c r="H46" s="12">
        <f t="shared" si="25"/>
        <v>0.93152704280305842</v>
      </c>
      <c r="I46" s="12">
        <f t="shared" si="25"/>
        <v>0.63748811747033207</v>
      </c>
      <c r="J46" s="12">
        <f>MEDIAN(J21:J30)</f>
        <v>4.9877159868686759E-2</v>
      </c>
      <c r="K46" s="12">
        <f t="shared" ref="K46:N46" si="26">MEDIAN(K21:K30)</f>
        <v>0.14526923706338768</v>
      </c>
      <c r="L46" s="12">
        <f t="shared" si="26"/>
        <v>0.21637653692519782</v>
      </c>
      <c r="M46" s="12">
        <f t="shared" si="26"/>
        <v>0.28494017897728646</v>
      </c>
      <c r="N46" s="12">
        <f t="shared" si="26"/>
        <v>0.30335343613721644</v>
      </c>
      <c r="P46" s="104"/>
      <c r="Q46" s="13" t="s">
        <v>203</v>
      </c>
      <c r="R46" s="12">
        <f>MEDIAN(R34:R43)</f>
        <v>0.166222586762453</v>
      </c>
      <c r="S46" s="12">
        <f t="shared" ref="S46:W46" si="27">MEDIAN(S34:S43)</f>
        <v>0.48743195947427886</v>
      </c>
      <c r="T46" s="12">
        <f t="shared" si="27"/>
        <v>0.70636256576786582</v>
      </c>
      <c r="U46" s="12">
        <f t="shared" si="27"/>
        <v>0.90441746295686309</v>
      </c>
      <c r="V46" s="12">
        <f t="shared" si="27"/>
        <v>0.9352418302863309</v>
      </c>
      <c r="W46" s="12">
        <f t="shared" si="27"/>
        <v>0.64324622962707145</v>
      </c>
      <c r="X46" s="12">
        <f>MEDIAN(X21:X30)</f>
        <v>5.0045351402709964E-2</v>
      </c>
      <c r="Y46" s="12">
        <f t="shared" ref="Y46:AB46" si="28">MEDIAN(Y21:Y30)</f>
        <v>0.14654639787574655</v>
      </c>
      <c r="Z46" s="12">
        <f t="shared" si="28"/>
        <v>0.21882985732453425</v>
      </c>
      <c r="AA46" s="12">
        <f t="shared" si="28"/>
        <v>0.28443379748479575</v>
      </c>
      <c r="AB46" s="12">
        <f t="shared" si="28"/>
        <v>0.30007550014010487</v>
      </c>
      <c r="AD46" s="108"/>
      <c r="AE46" s="13" t="s">
        <v>203</v>
      </c>
      <c r="AF46" s="12">
        <f>MEDIAN(AF34:AF43)</f>
        <v>0.15545732971200138</v>
      </c>
      <c r="AG46" s="12">
        <f t="shared" ref="AG46:AK46" si="29">MEDIAN(AG34:AG43)</f>
        <v>0.45456219706327938</v>
      </c>
      <c r="AH46" s="12">
        <f t="shared" si="29"/>
        <v>0.6540064061996913</v>
      </c>
      <c r="AI46" s="12">
        <f t="shared" si="29"/>
        <v>0.85958988599463693</v>
      </c>
      <c r="AJ46" s="12">
        <f t="shared" si="29"/>
        <v>0.91258328574915504</v>
      </c>
      <c r="AK46" s="12">
        <f t="shared" si="29"/>
        <v>0.61265781464670122</v>
      </c>
      <c r="AL46" s="12">
        <f>MEDIAN(AL21:AL30)</f>
        <v>4.776004342773503E-2</v>
      </c>
      <c r="AM46" s="12">
        <f t="shared" ref="AM46:AP46" si="30">MEDIAN(AM21:AM30)</f>
        <v>0.1428373105896385</v>
      </c>
      <c r="AN46" s="12">
        <f t="shared" si="30"/>
        <v>0.21184246033023846</v>
      </c>
      <c r="AO46" s="12">
        <f t="shared" si="30"/>
        <v>0.28448546899334248</v>
      </c>
      <c r="AP46" s="12">
        <f t="shared" si="30"/>
        <v>0.30959448560954911</v>
      </c>
    </row>
    <row r="47" spans="2:42">
      <c r="B47" s="100"/>
      <c r="C47" s="13" t="s">
        <v>201</v>
      </c>
      <c r="D47" s="12">
        <f>AVERAGE(D34:D43)</f>
        <v>0.16103072801180493</v>
      </c>
      <c r="E47" s="12">
        <f t="shared" ref="E47:I47" si="31">AVERAGE(E34:E43)</f>
        <v>0.47298381291116398</v>
      </c>
      <c r="F47" s="12">
        <f t="shared" si="31"/>
        <v>0.68449207327629713</v>
      </c>
      <c r="G47" s="12">
        <f t="shared" si="31"/>
        <v>0.88518528337544633</v>
      </c>
      <c r="H47" s="12">
        <f t="shared" si="31"/>
        <v>0.92718477531341159</v>
      </c>
      <c r="I47" s="12">
        <f t="shared" si="31"/>
        <v>0.63189167868656648</v>
      </c>
      <c r="J47" s="12">
        <f>AVERAGE(J21:J30)</f>
        <v>4.9610610097757711E-2</v>
      </c>
      <c r="K47" s="12">
        <f t="shared" ref="K47:N47" si="32">AVERAGE(K21:K30)</f>
        <v>0.14711443176122319</v>
      </c>
      <c r="L47" s="12">
        <f t="shared" si="32"/>
        <v>0.21673869358123934</v>
      </c>
      <c r="M47" s="12">
        <f t="shared" si="32"/>
        <v>0.28425003989148495</v>
      </c>
      <c r="N47" s="12">
        <f t="shared" si="32"/>
        <v>0.30228622466829486</v>
      </c>
      <c r="P47" s="104"/>
      <c r="Q47" s="13" t="s">
        <v>201</v>
      </c>
      <c r="R47" s="12">
        <f>AVERAGE(R34:R43)</f>
        <v>0.16587383674712969</v>
      </c>
      <c r="S47" s="12">
        <f t="shared" ref="S47:W47" si="33">AVERAGE(S34:S43)</f>
        <v>0.4845096176702014</v>
      </c>
      <c r="T47" s="12">
        <f t="shared" si="33"/>
        <v>0.70285603138972075</v>
      </c>
      <c r="U47" s="12">
        <f t="shared" si="33"/>
        <v>0.90083809115481994</v>
      </c>
      <c r="V47" s="12">
        <f t="shared" si="33"/>
        <v>0.93896328050409161</v>
      </c>
      <c r="W47" s="12">
        <f t="shared" si="33"/>
        <v>0.6443569946764367</v>
      </c>
      <c r="X47" s="12">
        <f>AVERAGE(X21:X30)</f>
        <v>5.009249361264264E-2</v>
      </c>
      <c r="Y47" s="12">
        <f t="shared" ref="Y47:AB47" si="34">AVERAGE(Y21:Y30)</f>
        <v>0.14778024632549497</v>
      </c>
      <c r="Z47" s="12">
        <f t="shared" si="34"/>
        <v>0.21827100509091957</v>
      </c>
      <c r="AA47" s="12">
        <f t="shared" si="34"/>
        <v>0.28366403351823838</v>
      </c>
      <c r="AB47" s="12">
        <f t="shared" si="34"/>
        <v>0.30019222145270447</v>
      </c>
      <c r="AD47" s="108"/>
      <c r="AE47" s="13" t="s">
        <v>201</v>
      </c>
      <c r="AF47" s="12">
        <f>AVERAGE(AF34:AF43)</f>
        <v>0.15217913867934008</v>
      </c>
      <c r="AG47" s="12">
        <f t="shared" ref="AG47:AK47" si="35">AVERAGE(AG34:AG43)</f>
        <v>0.45197924269246748</v>
      </c>
      <c r="AH47" s="12">
        <f t="shared" si="35"/>
        <v>0.65084253979281892</v>
      </c>
      <c r="AI47" s="12">
        <f t="shared" si="35"/>
        <v>0.8564703006723805</v>
      </c>
      <c r="AJ47" s="12">
        <f t="shared" si="35"/>
        <v>0.9055917114278188</v>
      </c>
      <c r="AK47" s="12">
        <f t="shared" si="35"/>
        <v>0.60907013609424698</v>
      </c>
      <c r="AL47" s="12">
        <f>AVERAGE(AL21:AL30)</f>
        <v>4.8679370175478361E-2</v>
      </c>
      <c r="AM47" s="12">
        <f t="shared" ref="AM47:AP47" si="36">AVERAGE(AM21:AM30)</f>
        <v>0.14584117622165646</v>
      </c>
      <c r="AN47" s="12">
        <f t="shared" si="36"/>
        <v>0.21374457587783108</v>
      </c>
      <c r="AO47" s="12">
        <f t="shared" si="36"/>
        <v>0.28539047698326014</v>
      </c>
      <c r="AP47" s="12">
        <f t="shared" si="36"/>
        <v>0.30634440074177399</v>
      </c>
    </row>
    <row r="48" spans="2:42">
      <c r="B48" s="100"/>
      <c r="C48" s="13" t="s">
        <v>205</v>
      </c>
      <c r="D48" s="12">
        <f>MAX(D34:D43)</f>
        <v>0.17537822111388196</v>
      </c>
      <c r="E48" s="12">
        <f t="shared" ref="E48:I48" si="37">MAX(E34:E43)</f>
        <v>0.50495147228162529</v>
      </c>
      <c r="F48" s="12">
        <f t="shared" si="37"/>
        <v>0.71337115072933555</v>
      </c>
      <c r="G48" s="12">
        <f t="shared" si="37"/>
        <v>0.93736386931454196</v>
      </c>
      <c r="H48" s="12">
        <f t="shared" si="37"/>
        <v>0.97325874566656156</v>
      </c>
      <c r="I48" s="12">
        <f t="shared" si="37"/>
        <v>0.65571811992668239</v>
      </c>
      <c r="J48" s="12">
        <f>MAX(J21:J29)</f>
        <v>5.4861473098933376E-2</v>
      </c>
      <c r="K48" s="12">
        <f t="shared" ref="K48:N48" si="38">MAX(K21:K29)</f>
        <v>0.16298184135074864</v>
      </c>
      <c r="L48" s="12">
        <f t="shared" si="38"/>
        <v>0.2256026335350961</v>
      </c>
      <c r="M48" s="12">
        <f t="shared" si="38"/>
        <v>0.29387160929202633</v>
      </c>
      <c r="N48" s="12">
        <f t="shared" si="38"/>
        <v>0.31448752383490863</v>
      </c>
      <c r="P48" s="104"/>
      <c r="Q48" s="13" t="s">
        <v>205</v>
      </c>
      <c r="R48" s="12">
        <f>MAX(R34:R43)</f>
        <v>0.18259182617692707</v>
      </c>
      <c r="S48" s="12">
        <f t="shared" ref="S48:W48" si="39">MAX(S34:S43)</f>
        <v>0.5088620342396778</v>
      </c>
      <c r="T48" s="12">
        <f t="shared" si="39"/>
        <v>0.72140845070422532</v>
      </c>
      <c r="U48" s="12">
        <f t="shared" si="39"/>
        <v>0.96120894217559638</v>
      </c>
      <c r="V48" s="12">
        <f t="shared" si="39"/>
        <v>0.99413937453829104</v>
      </c>
      <c r="W48" s="12">
        <f t="shared" si="39"/>
        <v>0.67652854912599492</v>
      </c>
      <c r="X48" s="12">
        <f>MAX(X21:X29)</f>
        <v>5.492270478836931E-2</v>
      </c>
      <c r="Y48" s="12">
        <f t="shared" ref="Y48:AB48" si="40">MAX(Y21:Y29)</f>
        <v>0.16236363928473885</v>
      </c>
      <c r="Z48" s="12">
        <f t="shared" si="40"/>
        <v>0.22653149751779317</v>
      </c>
      <c r="AA48" s="12">
        <f t="shared" si="40"/>
        <v>0.29261361436547084</v>
      </c>
      <c r="AB48" s="12">
        <f t="shared" si="40"/>
        <v>0.31208815034496645</v>
      </c>
      <c r="AD48" s="108"/>
      <c r="AE48" s="13" t="s">
        <v>205</v>
      </c>
      <c r="AF48" s="12">
        <f>MAX(AF34:AF43)</f>
        <v>0.16240111679851094</v>
      </c>
      <c r="AG48" s="12">
        <f t="shared" ref="AG48:AK48" si="41">MAX(AG34:AG43)</f>
        <v>0.49757949691504511</v>
      </c>
      <c r="AH48" s="12">
        <f t="shared" si="41"/>
        <v>0.70433171183692378</v>
      </c>
      <c r="AI48" s="12">
        <f t="shared" si="41"/>
        <v>0.9094287680660702</v>
      </c>
      <c r="AJ48" s="12">
        <f t="shared" si="41"/>
        <v>0.94811469857755704</v>
      </c>
      <c r="AK48" s="12">
        <f t="shared" si="41"/>
        <v>0.62837995066784569</v>
      </c>
      <c r="AL48" s="12">
        <f>MAX(AL21:AL29)</f>
        <v>5.473734220171033E-2</v>
      </c>
      <c r="AM48" s="12">
        <f t="shared" ref="AM48:AP48" si="42">MAX(AM21:AM29)</f>
        <v>0.16418705171171735</v>
      </c>
      <c r="AN48" s="12">
        <f t="shared" si="42"/>
        <v>0.2237917749866884</v>
      </c>
      <c r="AO48" s="12">
        <f t="shared" si="42"/>
        <v>0.2976849858188676</v>
      </c>
      <c r="AP48" s="12">
        <f t="shared" si="42"/>
        <v>0.31918603769579523</v>
      </c>
    </row>
    <row r="49" spans="2:42">
      <c r="B49" s="100"/>
      <c r="C49" s="13" t="s">
        <v>208</v>
      </c>
      <c r="D49" s="12">
        <f>D48-D45</f>
        <v>4.1567332861732975E-2</v>
      </c>
      <c r="E49" s="12">
        <f t="shared" ref="E49:I49" si="43">E48-E45</f>
        <v>7.485826322703143E-2</v>
      </c>
      <c r="F49" s="12">
        <f t="shared" si="43"/>
        <v>5.5720740137748526E-2</v>
      </c>
      <c r="G49" s="12">
        <f t="shared" si="43"/>
        <v>0.13455321842696799</v>
      </c>
      <c r="H49" s="12">
        <f t="shared" si="43"/>
        <v>0.12172179341018485</v>
      </c>
      <c r="I49" s="12">
        <f t="shared" si="43"/>
        <v>6.6371177106347434E-2</v>
      </c>
      <c r="J49" s="12">
        <f>J48-J45</f>
        <v>1.2012580348000998E-2</v>
      </c>
      <c r="K49" s="12">
        <f t="shared" ref="K49:N49" si="44">K48-K45</f>
        <v>2.8112138851415003E-2</v>
      </c>
      <c r="L49" s="12">
        <f t="shared" si="44"/>
        <v>1.8930909425445258E-2</v>
      </c>
      <c r="M49" s="12">
        <f t="shared" si="44"/>
        <v>2.0552080779761284E-2</v>
      </c>
      <c r="N49" s="12">
        <f t="shared" si="44"/>
        <v>2.604640670631142E-2</v>
      </c>
      <c r="P49" s="104"/>
      <c r="Q49" s="13" t="s">
        <v>208</v>
      </c>
      <c r="R49" s="12">
        <f>R48-R45</f>
        <v>4.4819240507145142E-2</v>
      </c>
      <c r="S49" s="12">
        <f t="shared" ref="S49:W49" si="45">S48-S45</f>
        <v>6.9461880432961587E-2</v>
      </c>
      <c r="T49" s="12">
        <f t="shared" si="45"/>
        <v>4.8244572814328812E-2</v>
      </c>
      <c r="U49" s="12">
        <f t="shared" si="45"/>
        <v>0.13953789119225679</v>
      </c>
      <c r="V49" s="12">
        <f t="shared" si="45"/>
        <v>0.12562847111149977</v>
      </c>
      <c r="W49" s="12">
        <f t="shared" si="45"/>
        <v>7.4947521458010757E-2</v>
      </c>
      <c r="X49" s="12">
        <f>X48-X45</f>
        <v>1.1647593481553906E-2</v>
      </c>
      <c r="Y49" s="12">
        <f t="shared" ref="Y49:AB49" si="46">Y48-Y45</f>
        <v>2.546113585830459E-2</v>
      </c>
      <c r="Z49" s="12">
        <f t="shared" si="46"/>
        <v>1.7631286124221712E-2</v>
      </c>
      <c r="AA49" s="12">
        <f t="shared" si="46"/>
        <v>2.0888279789695263E-2</v>
      </c>
      <c r="AB49" s="12">
        <f t="shared" si="46"/>
        <v>2.3228358882472655E-2</v>
      </c>
      <c r="AD49" s="108"/>
      <c r="AE49" s="13" t="s">
        <v>208</v>
      </c>
      <c r="AF49" s="12">
        <f>AF48-AF45</f>
        <v>3.592346182494055E-2</v>
      </c>
      <c r="AG49" s="12">
        <f t="shared" ref="AG49:AK49" si="47">AG48-AG45</f>
        <v>8.9543571601880367E-2</v>
      </c>
      <c r="AH49" s="12">
        <f t="shared" si="47"/>
        <v>9.7049053666691698E-2</v>
      </c>
      <c r="AI49" s="12">
        <f t="shared" si="47"/>
        <v>0.14259483736117173</v>
      </c>
      <c r="AJ49" s="12">
        <f t="shared" si="47"/>
        <v>0.12895615329588361</v>
      </c>
      <c r="AK49" s="12">
        <f t="shared" si="47"/>
        <v>6.2367945865924868E-2</v>
      </c>
      <c r="AL49" s="12">
        <f>AL48-AL45</f>
        <v>1.2722815902723977E-2</v>
      </c>
      <c r="AM49" s="12">
        <f t="shared" ref="AM49:AP49" si="48">AM48-AM45</f>
        <v>3.3298031408149437E-2</v>
      </c>
      <c r="AN49" s="12">
        <f t="shared" si="48"/>
        <v>2.1796021901735241E-2</v>
      </c>
      <c r="AO49" s="12">
        <f t="shared" si="48"/>
        <v>2.5423549684756019E-2</v>
      </c>
      <c r="AP49" s="12">
        <f t="shared" si="48"/>
        <v>3.1561143405695935E-2</v>
      </c>
    </row>
    <row r="50" spans="2:42">
      <c r="B50" s="100"/>
      <c r="P50" s="104"/>
      <c r="AD50" s="108"/>
    </row>
    <row r="51" spans="2:42">
      <c r="B51" s="100"/>
      <c r="C51" s="40" t="s">
        <v>262</v>
      </c>
      <c r="P51" s="104"/>
      <c r="Q51" s="40" t="s">
        <v>262</v>
      </c>
      <c r="AD51" s="108"/>
      <c r="AE51" s="40" t="s">
        <v>262</v>
      </c>
    </row>
    <row r="52" spans="2:42">
      <c r="B52" s="100"/>
      <c r="C52" s="13" t="s">
        <v>198</v>
      </c>
      <c r="D52" s="12">
        <f>MIN(D34:D38,D42:D43)</f>
        <v>0.15625419181757211</v>
      </c>
      <c r="E52" s="12">
        <f t="shared" ref="E52:I52" si="49">MIN(E34:E38,E42:E43)</f>
        <v>0.44581497797356828</v>
      </c>
      <c r="F52" s="12">
        <f t="shared" si="49"/>
        <v>0.657856093979442</v>
      </c>
      <c r="G52" s="12">
        <f t="shared" si="49"/>
        <v>0.84610453648915185</v>
      </c>
      <c r="H52" s="12">
        <f t="shared" si="49"/>
        <v>0.87129109863672816</v>
      </c>
      <c r="I52" s="12">
        <f t="shared" si="49"/>
        <v>0.62300287784062713</v>
      </c>
      <c r="P52" s="104"/>
      <c r="Q52" s="13" t="s">
        <v>198</v>
      </c>
      <c r="R52" s="12">
        <f>MIN(R34:R38,R42:R43)</f>
        <v>0.16000517732332384</v>
      </c>
      <c r="S52" s="12">
        <f t="shared" ref="S52:W52" si="50">MIN(S34:S38,S42:S43)</f>
        <v>0.46692195959329197</v>
      </c>
      <c r="T52" s="12">
        <f t="shared" si="50"/>
        <v>0.68611393692777212</v>
      </c>
      <c r="U52" s="12">
        <f t="shared" si="50"/>
        <v>0.85086152685196825</v>
      </c>
      <c r="V52" s="12">
        <f t="shared" si="50"/>
        <v>0.88264604810996561</v>
      </c>
      <c r="W52" s="12">
        <f t="shared" si="50"/>
        <v>0.63019718024653859</v>
      </c>
      <c r="AD52" s="108"/>
      <c r="AE52" s="13" t="s">
        <v>198</v>
      </c>
      <c r="AF52" s="12">
        <f>MIN(AF34:AF38,AF42:AF43)</f>
        <v>0.14665728360309641</v>
      </c>
      <c r="AG52" s="12">
        <f t="shared" ref="AG52:AK52" si="51">MIN(AG34:AG38,AG42:AG43)</f>
        <v>0.40803592531316474</v>
      </c>
      <c r="AH52" s="12">
        <f t="shared" si="51"/>
        <v>0.60728265817023208</v>
      </c>
      <c r="AI52" s="12">
        <f t="shared" si="51"/>
        <v>0.83713540431586431</v>
      </c>
      <c r="AJ52" s="12">
        <f t="shared" si="51"/>
        <v>0.8498843128181397</v>
      </c>
      <c r="AK52" s="12">
        <f t="shared" si="51"/>
        <v>0.60279694712307486</v>
      </c>
    </row>
    <row r="53" spans="2:42">
      <c r="B53" s="100"/>
      <c r="C53" s="13" t="s">
        <v>263</v>
      </c>
      <c r="D53" s="12">
        <f t="shared" ref="D53:I53" si="52">AVERAGE(D34:D38,D42:D43)</f>
        <v>0.16473221695358339</v>
      </c>
      <c r="E53" s="12">
        <f t="shared" si="52"/>
        <v>0.47702877360474455</v>
      </c>
      <c r="F53" s="12">
        <f t="shared" si="52"/>
        <v>0.69144359719406179</v>
      </c>
      <c r="G53" s="12">
        <f t="shared" si="52"/>
        <v>0.90176475230563669</v>
      </c>
      <c r="H53" s="12">
        <f t="shared" si="52"/>
        <v>0.94031544348554497</v>
      </c>
      <c r="I53" s="12">
        <f t="shared" si="52"/>
        <v>0.64192408905205323</v>
      </c>
      <c r="P53" s="104"/>
      <c r="Q53" s="13" t="s">
        <v>263</v>
      </c>
      <c r="R53" s="12">
        <f t="shared" ref="R53:W53" si="53">AVERAGE(R34:R38,R42:R43)</f>
        <v>0.17049329513357644</v>
      </c>
      <c r="S53" s="12">
        <f t="shared" si="53"/>
        <v>0.49042694935997477</v>
      </c>
      <c r="T53" s="12">
        <f t="shared" si="53"/>
        <v>0.7095509178470556</v>
      </c>
      <c r="U53" s="12">
        <f t="shared" si="53"/>
        <v>0.91676032813641817</v>
      </c>
      <c r="V53" s="12">
        <f t="shared" si="53"/>
        <v>0.95122561452546439</v>
      </c>
      <c r="W53" s="12">
        <f t="shared" si="53"/>
        <v>0.65459436404871307</v>
      </c>
      <c r="AD53" s="108"/>
      <c r="AE53" s="13" t="s">
        <v>263</v>
      </c>
      <c r="AF53" s="12">
        <f t="shared" ref="AF53:AK53" si="54">AVERAGE(AF34:AF38,AF42:AF43)</f>
        <v>0.15426065453138346</v>
      </c>
      <c r="AG53" s="12">
        <f t="shared" si="54"/>
        <v>0.45277278058113873</v>
      </c>
      <c r="AH53" s="12">
        <f t="shared" si="54"/>
        <v>0.65861677605429236</v>
      </c>
      <c r="AI53" s="12">
        <f t="shared" si="54"/>
        <v>0.87461539979388836</v>
      </c>
      <c r="AJ53" s="12">
        <f t="shared" si="54"/>
        <v>0.92059549342215774</v>
      </c>
      <c r="AK53" s="12">
        <f t="shared" si="54"/>
        <v>0.6189748079506191</v>
      </c>
    </row>
    <row r="54" spans="2:42">
      <c r="B54" s="100"/>
      <c r="C54" s="13" t="s">
        <v>205</v>
      </c>
      <c r="D54" s="12">
        <f>MAX(D34:D38,D42:D43)</f>
        <v>0.17537822111388196</v>
      </c>
      <c r="E54" s="12">
        <f t="shared" ref="E54:I54" si="55">MAX(E34:E38,E42:E43)</f>
        <v>0.50495147228162529</v>
      </c>
      <c r="F54" s="12">
        <f t="shared" si="55"/>
        <v>0.71337115072933555</v>
      </c>
      <c r="G54" s="12">
        <f t="shared" si="55"/>
        <v>0.93736386931454196</v>
      </c>
      <c r="H54" s="12">
        <f t="shared" si="55"/>
        <v>0.97325874566656156</v>
      </c>
      <c r="I54" s="12">
        <f t="shared" si="55"/>
        <v>0.65571811992668239</v>
      </c>
      <c r="P54" s="104"/>
      <c r="Q54" s="13" t="s">
        <v>205</v>
      </c>
      <c r="R54" s="12">
        <f>MAX(R34:R38,R42:R43)</f>
        <v>0.18259182617692707</v>
      </c>
      <c r="S54" s="12">
        <f t="shared" ref="S54:W54" si="56">MAX(S34:S38,S42:S43)</f>
        <v>0.5088620342396778</v>
      </c>
      <c r="T54" s="12">
        <f t="shared" si="56"/>
        <v>0.72140845070422532</v>
      </c>
      <c r="U54" s="12">
        <f t="shared" si="56"/>
        <v>0.96120894217559638</v>
      </c>
      <c r="V54" s="12">
        <f t="shared" si="56"/>
        <v>0.99413937453829104</v>
      </c>
      <c r="W54" s="12">
        <f t="shared" si="56"/>
        <v>0.67652854912599492</v>
      </c>
      <c r="AD54" s="108"/>
      <c r="AE54" s="13" t="s">
        <v>205</v>
      </c>
      <c r="AF54" s="12">
        <f>MAX(AF34:AF38,AF42:AF43)</f>
        <v>0.16240111679851094</v>
      </c>
      <c r="AG54" s="12">
        <f t="shared" ref="AG54:AK54" si="57">MAX(AG34:AG38,AG42:AG43)</f>
        <v>0.49757949691504511</v>
      </c>
      <c r="AH54" s="12">
        <f t="shared" si="57"/>
        <v>0.70433171183692378</v>
      </c>
      <c r="AI54" s="12">
        <f t="shared" si="57"/>
        <v>0.9094287680660702</v>
      </c>
      <c r="AJ54" s="12">
        <f t="shared" si="57"/>
        <v>0.94811469857755704</v>
      </c>
      <c r="AK54" s="12">
        <f t="shared" si="57"/>
        <v>0.62837995066784569</v>
      </c>
    </row>
    <row r="55" spans="2:42">
      <c r="B55" s="100"/>
      <c r="C55" s="13" t="s">
        <v>208</v>
      </c>
      <c r="D55" s="12">
        <f>D54-D52</f>
        <v>1.9124029296309852E-2</v>
      </c>
      <c r="E55" s="12">
        <f t="shared" ref="E55:I55" si="58">E54-E52</f>
        <v>5.9136494308057008E-2</v>
      </c>
      <c r="F55" s="12">
        <f t="shared" si="58"/>
        <v>5.5515056749893543E-2</v>
      </c>
      <c r="G55" s="12">
        <f t="shared" si="58"/>
        <v>9.1259332825390116E-2</v>
      </c>
      <c r="H55" s="12">
        <f t="shared" si="58"/>
        <v>0.10196764702983341</v>
      </c>
      <c r="I55" s="12">
        <f t="shared" si="58"/>
        <v>3.2715242086055252E-2</v>
      </c>
      <c r="P55" s="104"/>
      <c r="Q55" s="13" t="s">
        <v>208</v>
      </c>
      <c r="R55" s="12">
        <f>R54-R52</f>
        <v>2.2586648853603231E-2</v>
      </c>
      <c r="S55" s="12">
        <f t="shared" ref="S55:W55" si="59">S54-S52</f>
        <v>4.1940074646385828E-2</v>
      </c>
      <c r="T55" s="12">
        <f t="shared" si="59"/>
        <v>3.5294513776453207E-2</v>
      </c>
      <c r="U55" s="12">
        <f t="shared" si="59"/>
        <v>0.11034741532362813</v>
      </c>
      <c r="V55" s="12">
        <f t="shared" si="59"/>
        <v>0.11149332642832543</v>
      </c>
      <c r="W55" s="12">
        <f t="shared" si="59"/>
        <v>4.6331368879456325E-2</v>
      </c>
      <c r="AD55" s="108"/>
      <c r="AE55" s="13" t="s">
        <v>208</v>
      </c>
      <c r="AF55" s="12">
        <f>AF54-AF52</f>
        <v>1.5743833195414531E-2</v>
      </c>
      <c r="AG55" s="12">
        <f t="shared" ref="AG55:AK55" si="60">AG54-AG52</f>
        <v>8.9543571601880367E-2</v>
      </c>
      <c r="AH55" s="12">
        <f t="shared" si="60"/>
        <v>9.7049053666691698E-2</v>
      </c>
      <c r="AI55" s="12">
        <f t="shared" si="60"/>
        <v>7.2293363750205897E-2</v>
      </c>
      <c r="AJ55" s="12">
        <f t="shared" si="60"/>
        <v>9.8230385759417338E-2</v>
      </c>
      <c r="AK55" s="12">
        <f t="shared" si="60"/>
        <v>2.5583003544770833E-2</v>
      </c>
    </row>
    <row r="56" spans="2:42">
      <c r="B56" s="100"/>
      <c r="P56" s="104"/>
      <c r="AD56" s="108"/>
    </row>
    <row r="57" spans="2:42">
      <c r="B57" s="100"/>
      <c r="C57" s="40" t="s">
        <v>264</v>
      </c>
      <c r="P57" s="104"/>
      <c r="Q57" s="40" t="s">
        <v>264</v>
      </c>
      <c r="AD57" s="108"/>
      <c r="AE57" s="40" t="s">
        <v>264</v>
      </c>
    </row>
    <row r="58" spans="2:42">
      <c r="B58" s="100"/>
      <c r="C58" s="13" t="s">
        <v>265</v>
      </c>
      <c r="D58" s="12">
        <f>D38-D39</f>
        <v>2.2443303565423123E-2</v>
      </c>
      <c r="E58" s="12">
        <f t="shared" ref="E58:I58" si="61">E38-E39</f>
        <v>4.2157836970510731E-2</v>
      </c>
      <c r="F58" s="12">
        <f t="shared" si="61"/>
        <v>3.6100862205581619E-2</v>
      </c>
      <c r="G58" s="12">
        <f t="shared" si="61"/>
        <v>3.5070809458742414E-2</v>
      </c>
      <c r="H58" s="12">
        <f t="shared" si="61"/>
        <v>2.495138912719197E-2</v>
      </c>
      <c r="I58" s="12">
        <f t="shared" si="61"/>
        <v>3.1510432559936907E-2</v>
      </c>
      <c r="P58" s="104"/>
      <c r="Q58" s="13" t="s">
        <v>265</v>
      </c>
      <c r="R58" s="12">
        <f>R38-R39</f>
        <v>2.2232591653541911E-2</v>
      </c>
      <c r="S58" s="12">
        <f t="shared" ref="S58:W58" si="62">S38-S39</f>
        <v>4.3442223454265683E-2</v>
      </c>
      <c r="T58" s="12">
        <f t="shared" si="62"/>
        <v>2.4185120457810405E-2</v>
      </c>
      <c r="U58" s="12">
        <f t="shared" si="62"/>
        <v>3.9447362303792088E-2</v>
      </c>
      <c r="V58" s="12">
        <f t="shared" si="62"/>
        <v>7.5956713688831723E-3</v>
      </c>
      <c r="W58" s="12">
        <f t="shared" si="62"/>
        <v>2.6664088498751348E-2</v>
      </c>
      <c r="AD58" s="108"/>
      <c r="AE58" s="13" t="s">
        <v>265</v>
      </c>
      <c r="AF58" s="12">
        <f>AF38-AF39</f>
        <v>2.2879793860318243E-2</v>
      </c>
      <c r="AG58" s="12">
        <f t="shared" ref="AG58:AK58" si="63">AG38-AG39</f>
        <v>3.9917208445550245E-2</v>
      </c>
      <c r="AH58" s="12">
        <f t="shared" si="63"/>
        <v>5.8283874900045274E-2</v>
      </c>
      <c r="AI58" s="12">
        <f t="shared" si="63"/>
        <v>2.714300361738109E-2</v>
      </c>
      <c r="AJ58" s="12">
        <f t="shared" si="63"/>
        <v>5.7040431032701289E-2</v>
      </c>
      <c r="AK58" s="12">
        <f t="shared" si="63"/>
        <v>4.0569642778723658E-2</v>
      </c>
    </row>
    <row r="59" spans="2:42">
      <c r="B59" s="100"/>
      <c r="C59" s="13" t="s">
        <v>266</v>
      </c>
      <c r="D59" s="12">
        <f>D38-AVERAGE(D39:D41)</f>
        <v>3.8602713365835373E-3</v>
      </c>
      <c r="E59" s="12">
        <f t="shared" ref="E59:I59" si="64">E38-AVERAGE(E39:E41)</f>
        <v>8.7054747322952153E-3</v>
      </c>
      <c r="F59" s="12">
        <f t="shared" si="64"/>
        <v>2.7208651727447686E-2</v>
      </c>
      <c r="G59" s="12">
        <f t="shared" si="64"/>
        <v>5.312791561238972E-2</v>
      </c>
      <c r="H59" s="12">
        <f t="shared" si="64"/>
        <v>4.5690166934451937E-2</v>
      </c>
      <c r="I59" s="12">
        <f t="shared" si="64"/>
        <v>3.0101761196246857E-2</v>
      </c>
      <c r="P59" s="104"/>
      <c r="Q59" s="13" t="s">
        <v>266</v>
      </c>
      <c r="R59" s="12">
        <f>R38-AVERAGE(R39:R41)</f>
        <v>4.9100768112365079E-3</v>
      </c>
      <c r="S59" s="12">
        <f t="shared" ref="S59:W59" si="65">S38-AVERAGE(S39:S41)</f>
        <v>1.2139866866918314E-2</v>
      </c>
      <c r="T59" s="12">
        <f t="shared" si="65"/>
        <v>1.7677209134992822E-2</v>
      </c>
      <c r="U59" s="12">
        <f t="shared" si="65"/>
        <v>5.0267574023770356E-2</v>
      </c>
      <c r="V59" s="12">
        <f t="shared" si="65"/>
        <v>2.8688498183217059E-2</v>
      </c>
      <c r="W59" s="12">
        <f t="shared" si="65"/>
        <v>2.5057833634708593E-2</v>
      </c>
      <c r="AD59" s="108"/>
      <c r="AE59" s="13" t="s">
        <v>266</v>
      </c>
      <c r="AF59" s="12">
        <f>AF38-AVERAGE(AF39:AF41)</f>
        <v>2.0351804759832226E-3</v>
      </c>
      <c r="AG59" s="12">
        <f t="shared" ref="AG59:AK59" si="66">AG38-AVERAGE(AG39:AG41)</f>
        <v>2.6514431016054774E-3</v>
      </c>
      <c r="AH59" s="12">
        <f t="shared" si="66"/>
        <v>4.5435371681574743E-2</v>
      </c>
      <c r="AI59" s="12">
        <f t="shared" si="66"/>
        <v>5.9151057420234854E-2</v>
      </c>
      <c r="AJ59" s="12">
        <f t="shared" si="66"/>
        <v>7.7531811803195683E-2</v>
      </c>
      <c r="AK59" s="12">
        <f t="shared" si="66"/>
        <v>3.9858912914367606E-2</v>
      </c>
    </row>
    <row r="60" spans="2:42">
      <c r="B60" s="100"/>
      <c r="P60" s="104"/>
      <c r="AD60" s="108"/>
    </row>
    <row r="61" spans="2:42">
      <c r="B61" s="100"/>
      <c r="C61" s="111" t="s">
        <v>267</v>
      </c>
      <c r="D61" s="12">
        <f>AF58-D58</f>
        <v>4.3649029489511992E-4</v>
      </c>
      <c r="E61" s="12">
        <f t="shared" ref="E61:I61" si="67">AG58-E58</f>
        <v>-2.2406285249604863E-3</v>
      </c>
      <c r="F61" s="12">
        <f t="shared" si="67"/>
        <v>2.2183012694463655E-2</v>
      </c>
      <c r="G61" s="12">
        <f t="shared" si="67"/>
        <v>-7.9278058413613239E-3</v>
      </c>
      <c r="H61" s="12">
        <f t="shared" si="67"/>
        <v>3.2089041905509319E-2</v>
      </c>
      <c r="I61" s="12">
        <f t="shared" si="67"/>
        <v>9.0592102187867507E-3</v>
      </c>
      <c r="P61" s="104"/>
      <c r="Q61" s="111" t="s">
        <v>267</v>
      </c>
      <c r="R61" s="12">
        <f>AF58-R58</f>
        <v>6.4720220677633167E-4</v>
      </c>
      <c r="S61" s="12">
        <f t="shared" ref="S61:W61" si="68">AG58-S58</f>
        <v>-3.5250150087154375E-3</v>
      </c>
      <c r="T61" s="12">
        <f t="shared" si="68"/>
        <v>3.4098754442234869E-2</v>
      </c>
      <c r="U61" s="12">
        <f t="shared" si="68"/>
        <v>-1.2304358686410999E-2</v>
      </c>
      <c r="V61" s="12">
        <f t="shared" si="68"/>
        <v>4.9444759663818116E-2</v>
      </c>
      <c r="W61" s="12">
        <f t="shared" si="68"/>
        <v>1.390555427997231E-2</v>
      </c>
      <c r="AD61" s="108"/>
      <c r="AE61" s="111" t="s">
        <v>268</v>
      </c>
      <c r="AF61" s="12">
        <f>AF58-R58</f>
        <v>6.4720220677633167E-4</v>
      </c>
      <c r="AG61" s="12">
        <f t="shared" ref="AG61:AK61" si="69">AG58-S58</f>
        <v>-3.5250150087154375E-3</v>
      </c>
      <c r="AH61" s="12">
        <f t="shared" si="69"/>
        <v>3.4098754442234869E-2</v>
      </c>
      <c r="AI61" s="12">
        <f t="shared" si="69"/>
        <v>-1.2304358686410999E-2</v>
      </c>
      <c r="AJ61" s="12">
        <f t="shared" si="69"/>
        <v>4.9444759663818116E-2</v>
      </c>
      <c r="AK61" s="12">
        <f t="shared" si="69"/>
        <v>1.390555427997231E-2</v>
      </c>
    </row>
    <row r="62" spans="2:42">
      <c r="B62" s="100"/>
      <c r="P62" s="104"/>
      <c r="AD62" s="108"/>
    </row>
    <row r="63" spans="2:42">
      <c r="B63" s="100"/>
      <c r="P63" s="104"/>
      <c r="AD63" s="108"/>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BAFB0-53BD-4AD7-9284-C709DC210ACF}">
  <dimension ref="A1:AP63"/>
  <sheetViews>
    <sheetView zoomScale="60" zoomScaleNormal="60" workbookViewId="0">
      <selection activeCell="H3" sqref="H3"/>
    </sheetView>
  </sheetViews>
  <sheetFormatPr defaultRowHeight="14.65"/>
  <cols>
    <col min="1" max="1" width="2.85546875" customWidth="1"/>
    <col min="2" max="2" width="2.7109375" customWidth="1"/>
    <col min="3" max="9" width="10" customWidth="1"/>
    <col min="10" max="13" width="0" hidden="1" customWidth="1"/>
    <col min="14" max="14" width="8.85546875" hidden="1" customWidth="1"/>
    <col min="15" max="16" width="2.7109375" customWidth="1"/>
    <col min="17" max="23" width="10" customWidth="1"/>
    <col min="24" max="28" width="0" hidden="1" customWidth="1"/>
    <col min="29" max="30" width="2.7109375" customWidth="1"/>
    <col min="31" max="37" width="10" customWidth="1"/>
    <col min="38" max="42" width="0" hidden="1" customWidth="1"/>
  </cols>
  <sheetData>
    <row r="1" spans="1:42" s="98" customFormat="1" ht="20.65">
      <c r="A1" s="98" t="s">
        <v>39</v>
      </c>
    </row>
    <row r="2" spans="1:42">
      <c r="A2" t="s">
        <v>269</v>
      </c>
    </row>
    <row r="3" spans="1:42">
      <c r="A3" s="13" t="s">
        <v>242</v>
      </c>
      <c r="B3" s="13"/>
    </row>
    <row r="4" spans="1:42">
      <c r="A4" s="13"/>
      <c r="B4" s="13"/>
    </row>
    <row r="5" spans="1:42" ht="14.45" customHeight="1">
      <c r="B5" s="100"/>
      <c r="C5" s="101"/>
      <c r="D5" s="101"/>
      <c r="E5" s="101"/>
      <c r="F5" s="101"/>
      <c r="G5" s="101"/>
      <c r="H5" s="101"/>
      <c r="I5" s="102" t="s">
        <v>243</v>
      </c>
      <c r="J5" s="101"/>
      <c r="K5" s="101"/>
      <c r="L5" s="101"/>
      <c r="M5" s="101"/>
      <c r="N5" s="101"/>
      <c r="P5" s="103"/>
      <c r="Q5" s="104"/>
      <c r="R5" s="105"/>
      <c r="S5" s="105"/>
      <c r="T5" s="105"/>
      <c r="U5" s="105"/>
      <c r="V5" s="105"/>
      <c r="W5" s="106" t="s">
        <v>244</v>
      </c>
      <c r="X5" s="105"/>
      <c r="Y5" s="105"/>
      <c r="Z5" s="105"/>
      <c r="AA5" s="105"/>
      <c r="AB5" s="105"/>
      <c r="AD5" s="107"/>
      <c r="AE5" s="108"/>
      <c r="AF5" s="108"/>
      <c r="AG5" s="108"/>
      <c r="AH5" s="108"/>
      <c r="AI5" s="108"/>
      <c r="AJ5" s="108"/>
      <c r="AK5" s="109" t="s">
        <v>245</v>
      </c>
      <c r="AL5" s="108"/>
      <c r="AM5" s="108"/>
      <c r="AN5" s="108"/>
      <c r="AO5" s="108"/>
      <c r="AP5" s="108"/>
    </row>
    <row r="6" spans="1:42">
      <c r="B6" s="100"/>
      <c r="C6" s="40" t="s">
        <v>246</v>
      </c>
      <c r="P6" s="103"/>
      <c r="Q6" s="40" t="s">
        <v>246</v>
      </c>
      <c r="AD6" s="107"/>
      <c r="AE6" s="40" t="s">
        <v>246</v>
      </c>
    </row>
    <row r="7" spans="1:42">
      <c r="B7" s="100"/>
      <c r="C7" s="13" t="s">
        <v>247</v>
      </c>
      <c r="D7" s="13" t="s">
        <v>248</v>
      </c>
      <c r="E7" s="13" t="s">
        <v>249</v>
      </c>
      <c r="F7" s="13" t="s">
        <v>250</v>
      </c>
      <c r="G7" s="13" t="s">
        <v>251</v>
      </c>
      <c r="H7" s="13" t="s">
        <v>252</v>
      </c>
      <c r="J7" s="52"/>
      <c r="K7" s="52"/>
      <c r="L7" s="52"/>
      <c r="M7" s="52"/>
      <c r="N7" s="52"/>
      <c r="P7" s="103"/>
      <c r="Q7" s="13" t="s">
        <v>247</v>
      </c>
      <c r="R7" s="13" t="s">
        <v>248</v>
      </c>
      <c r="S7" s="13" t="s">
        <v>249</v>
      </c>
      <c r="T7" s="13" t="s">
        <v>250</v>
      </c>
      <c r="U7" s="13" t="s">
        <v>251</v>
      </c>
      <c r="V7" s="13" t="s">
        <v>252</v>
      </c>
      <c r="X7" s="52"/>
      <c r="Y7" s="52"/>
      <c r="Z7" s="52"/>
      <c r="AA7" s="52"/>
      <c r="AB7" s="52"/>
      <c r="AD7" s="107"/>
      <c r="AE7" s="13" t="s">
        <v>247</v>
      </c>
      <c r="AF7" s="13" t="s">
        <v>248</v>
      </c>
      <c r="AG7" s="13" t="s">
        <v>249</v>
      </c>
      <c r="AH7" s="13" t="s">
        <v>250</v>
      </c>
      <c r="AI7" s="13" t="s">
        <v>251</v>
      </c>
      <c r="AJ7" s="13" t="s">
        <v>252</v>
      </c>
    </row>
    <row r="8" spans="1:42">
      <c r="B8" s="100"/>
      <c r="C8" s="13">
        <v>2015</v>
      </c>
      <c r="D8">
        <v>58870</v>
      </c>
      <c r="E8">
        <v>59020</v>
      </c>
      <c r="F8">
        <v>61290</v>
      </c>
      <c r="G8">
        <v>62450</v>
      </c>
      <c r="H8">
        <v>63580</v>
      </c>
      <c r="J8" s="52">
        <f>SUM(D8:H8)</f>
        <v>305210</v>
      </c>
      <c r="K8" s="52"/>
      <c r="L8" s="110">
        <f>D8/$J8</f>
        <v>0.1928835883490056</v>
      </c>
      <c r="M8" s="110">
        <f t="shared" ref="M8:N17" si="0">E8/$J8</f>
        <v>0.19337505324203008</v>
      </c>
      <c r="N8" s="110">
        <f t="shared" si="0"/>
        <v>0.20081255528980047</v>
      </c>
      <c r="P8" s="103"/>
      <c r="Q8" s="13">
        <v>2015</v>
      </c>
      <c r="R8">
        <f>[2]T5!B3-[3]T5!B3</f>
        <v>37765</v>
      </c>
      <c r="S8">
        <f>[2]T5!C3-[3]T5!C3</f>
        <v>37865</v>
      </c>
      <c r="T8">
        <f>[2]T5!D3-[3]T5!D3</f>
        <v>39320</v>
      </c>
      <c r="U8">
        <f>[2]T5!E3-[3]T5!E3</f>
        <v>40065</v>
      </c>
      <c r="V8">
        <f>[2]T5!F3-[3]T5!F3</f>
        <v>40790</v>
      </c>
      <c r="X8" s="52">
        <f>SUM(R8:V8)</f>
        <v>195805</v>
      </c>
      <c r="Y8" s="52"/>
      <c r="Z8" s="110">
        <f>R8/$X8</f>
        <v>0.19287045785347667</v>
      </c>
      <c r="AA8" s="110">
        <f t="shared" ref="AA8:AB17" si="1">S8/$X8</f>
        <v>0.19338117004162303</v>
      </c>
      <c r="AB8" s="110">
        <f t="shared" si="1"/>
        <v>0.20081203237915274</v>
      </c>
      <c r="AD8" s="107"/>
      <c r="AE8" s="13">
        <v>2015</v>
      </c>
      <c r="AF8">
        <v>21105</v>
      </c>
      <c r="AG8">
        <v>21155</v>
      </c>
      <c r="AH8">
        <v>21970</v>
      </c>
      <c r="AI8">
        <v>22385</v>
      </c>
      <c r="AJ8">
        <v>22790</v>
      </c>
    </row>
    <row r="9" spans="1:42">
      <c r="B9" s="100"/>
      <c r="C9" s="13">
        <v>2016</v>
      </c>
      <c r="D9">
        <v>59400</v>
      </c>
      <c r="E9">
        <v>59550</v>
      </c>
      <c r="F9">
        <v>59980</v>
      </c>
      <c r="G9">
        <v>62440</v>
      </c>
      <c r="H9">
        <v>63340</v>
      </c>
      <c r="J9" s="52">
        <f t="shared" ref="J9:J17" si="2">SUM(D9:H9)</f>
        <v>304710</v>
      </c>
      <c r="K9" s="52"/>
      <c r="L9" s="110">
        <f t="shared" ref="L9:L17" si="3">D9/$J9</f>
        <v>0.19493945062518461</v>
      </c>
      <c r="M9" s="110">
        <f t="shared" si="0"/>
        <v>0.19543172196514719</v>
      </c>
      <c r="N9" s="110">
        <f t="shared" si="0"/>
        <v>0.19684289980637326</v>
      </c>
      <c r="P9" s="103"/>
      <c r="Q9" s="13">
        <v>2016</v>
      </c>
      <c r="R9">
        <f>[2]T5!B4-[3]T5!B4</f>
        <v>38085</v>
      </c>
      <c r="S9">
        <f>[2]T5!C4-[3]T5!C4</f>
        <v>38180</v>
      </c>
      <c r="T9">
        <f>[2]T5!D4-[3]T5!D4</f>
        <v>38455</v>
      </c>
      <c r="U9">
        <f>[2]T5!E4-[3]T5!E4</f>
        <v>40035</v>
      </c>
      <c r="V9">
        <f>[2]T5!F4-[3]T5!F4</f>
        <v>40610</v>
      </c>
      <c r="X9" s="52">
        <f t="shared" ref="X9:X17" si="4">SUM(R9:V9)</f>
        <v>195365</v>
      </c>
      <c r="Y9" s="52"/>
      <c r="Z9" s="110">
        <f t="shared" ref="Z9:Z17" si="5">R9/$X9</f>
        <v>0.19494279937552786</v>
      </c>
      <c r="AA9" s="110">
        <f t="shared" si="1"/>
        <v>0.19542906866634249</v>
      </c>
      <c r="AB9" s="110">
        <f t="shared" si="1"/>
        <v>0.196836690297648</v>
      </c>
      <c r="AD9" s="107"/>
      <c r="AE9" s="13">
        <v>2016</v>
      </c>
      <c r="AF9">
        <v>21315</v>
      </c>
      <c r="AG9">
        <v>21370</v>
      </c>
      <c r="AH9">
        <v>21525</v>
      </c>
      <c r="AI9">
        <v>22405</v>
      </c>
      <c r="AJ9">
        <v>22730</v>
      </c>
    </row>
    <row r="10" spans="1:42">
      <c r="B10" s="100"/>
      <c r="C10" s="13">
        <v>2017</v>
      </c>
      <c r="D10">
        <v>60150</v>
      </c>
      <c r="E10">
        <v>59970</v>
      </c>
      <c r="F10">
        <v>60760</v>
      </c>
      <c r="G10">
        <v>61180</v>
      </c>
      <c r="H10">
        <v>63460</v>
      </c>
      <c r="J10" s="52">
        <f t="shared" si="2"/>
        <v>305520</v>
      </c>
      <c r="K10" s="52"/>
      <c r="L10" s="110">
        <f t="shared" si="3"/>
        <v>0.19687745483110761</v>
      </c>
      <c r="M10" s="110">
        <f t="shared" si="0"/>
        <v>0.19628829536527886</v>
      </c>
      <c r="N10" s="110">
        <f t="shared" si="0"/>
        <v>0.19887405079863837</v>
      </c>
      <c r="P10" s="103"/>
      <c r="Q10" s="13">
        <v>2017</v>
      </c>
      <c r="R10">
        <f>[2]T5!B5-[3]T5!B5</f>
        <v>38660</v>
      </c>
      <c r="S10">
        <f>[2]T5!C5-[3]T5!C5</f>
        <v>38545</v>
      </c>
      <c r="T10">
        <f>[2]T5!D5-[3]T5!D5</f>
        <v>39050</v>
      </c>
      <c r="U10">
        <f>[2]T5!E5-[3]T5!E5</f>
        <v>39320</v>
      </c>
      <c r="V10">
        <f>[2]T5!F5-[3]T5!F5</f>
        <v>40785</v>
      </c>
      <c r="X10" s="52">
        <f t="shared" si="4"/>
        <v>196360</v>
      </c>
      <c r="Y10" s="52"/>
      <c r="Z10" s="110">
        <f t="shared" si="5"/>
        <v>0.1968832756162151</v>
      </c>
      <c r="AA10" s="110">
        <f t="shared" si="1"/>
        <v>0.19629761662253004</v>
      </c>
      <c r="AB10" s="110">
        <f t="shared" si="1"/>
        <v>0.19886942350784273</v>
      </c>
      <c r="AD10" s="107"/>
      <c r="AE10" s="13">
        <v>2017</v>
      </c>
      <c r="AF10">
        <v>21490</v>
      </c>
      <c r="AG10">
        <v>21425</v>
      </c>
      <c r="AH10">
        <v>21710</v>
      </c>
      <c r="AI10">
        <v>21860</v>
      </c>
      <c r="AJ10">
        <v>22675</v>
      </c>
    </row>
    <row r="11" spans="1:42">
      <c r="B11" s="100"/>
      <c r="C11" s="13">
        <v>2018</v>
      </c>
      <c r="D11">
        <v>59530</v>
      </c>
      <c r="E11">
        <v>60520</v>
      </c>
      <c r="F11">
        <v>60890</v>
      </c>
      <c r="G11">
        <v>61880</v>
      </c>
      <c r="H11">
        <v>62210</v>
      </c>
      <c r="J11" s="52">
        <f t="shared" si="2"/>
        <v>305030</v>
      </c>
      <c r="K11" s="52"/>
      <c r="L11" s="110">
        <f t="shared" si="3"/>
        <v>0.19516113169196472</v>
      </c>
      <c r="M11" s="110">
        <f t="shared" si="0"/>
        <v>0.1984067140936957</v>
      </c>
      <c r="N11" s="110">
        <f t="shared" si="0"/>
        <v>0.19961970953676689</v>
      </c>
      <c r="P11" s="103"/>
      <c r="Q11" s="13">
        <v>2018</v>
      </c>
      <c r="R11">
        <f>[2]T5!B6-[3]T5!B6</f>
        <v>38560</v>
      </c>
      <c r="S11">
        <f>[2]T5!C6-[3]T5!C6</f>
        <v>39205</v>
      </c>
      <c r="T11">
        <f>[2]T5!D6-[3]T5!D6</f>
        <v>39445</v>
      </c>
      <c r="U11">
        <f>[2]T5!E6-[3]T5!E6</f>
        <v>40085</v>
      </c>
      <c r="V11">
        <f>[2]T5!F6-[3]T5!F6</f>
        <v>40300</v>
      </c>
      <c r="X11" s="52">
        <f t="shared" si="4"/>
        <v>197595</v>
      </c>
      <c r="Y11" s="52"/>
      <c r="Z11" s="110">
        <f t="shared" si="5"/>
        <v>0.19514663832586857</v>
      </c>
      <c r="AA11" s="110">
        <f t="shared" si="1"/>
        <v>0.19841089096384018</v>
      </c>
      <c r="AB11" s="110">
        <f t="shared" si="1"/>
        <v>0.1996254965965738</v>
      </c>
      <c r="AD11" s="107"/>
      <c r="AE11" s="13">
        <v>2018</v>
      </c>
      <c r="AF11">
        <v>20970</v>
      </c>
      <c r="AG11">
        <v>21315</v>
      </c>
      <c r="AH11">
        <v>21445</v>
      </c>
      <c r="AI11">
        <v>21795</v>
      </c>
      <c r="AJ11">
        <v>21910</v>
      </c>
    </row>
    <row r="12" spans="1:42">
      <c r="B12" s="100"/>
      <c r="C12" s="13">
        <v>2019</v>
      </c>
      <c r="D12">
        <v>59640</v>
      </c>
      <c r="E12">
        <v>59750</v>
      </c>
      <c r="F12">
        <v>61290</v>
      </c>
      <c r="G12">
        <v>61790</v>
      </c>
      <c r="H12">
        <v>62860</v>
      </c>
      <c r="J12" s="52">
        <f t="shared" si="2"/>
        <v>305330</v>
      </c>
      <c r="K12" s="52"/>
      <c r="L12" s="110">
        <f t="shared" si="3"/>
        <v>0.19532964333671765</v>
      </c>
      <c r="M12" s="110">
        <f t="shared" si="0"/>
        <v>0.19568990927848556</v>
      </c>
      <c r="N12" s="110">
        <f t="shared" si="0"/>
        <v>0.2007336324632365</v>
      </c>
      <c r="P12" s="103"/>
      <c r="Q12" s="13">
        <v>2019</v>
      </c>
      <c r="R12">
        <f>[2]T5!B7-[3]T5!B7</f>
        <v>38630</v>
      </c>
      <c r="S12">
        <f>[2]T5!C7-[3]T5!C7</f>
        <v>38700</v>
      </c>
      <c r="T12">
        <f>[2]T5!D7-[3]T5!D7</f>
        <v>39700</v>
      </c>
      <c r="U12">
        <f>[2]T5!E7-[3]T5!E7</f>
        <v>40025</v>
      </c>
      <c r="V12">
        <f>[2]T5!F7-[3]T5!F7</f>
        <v>40715</v>
      </c>
      <c r="X12" s="52">
        <f t="shared" si="4"/>
        <v>197770</v>
      </c>
      <c r="Y12" s="52"/>
      <c r="Z12" s="110">
        <f t="shared" si="5"/>
        <v>0.19532790615361278</v>
      </c>
      <c r="AA12" s="110">
        <f t="shared" si="1"/>
        <v>0.19568185265712695</v>
      </c>
      <c r="AB12" s="110">
        <f t="shared" si="1"/>
        <v>0.20073823127875814</v>
      </c>
      <c r="AD12" s="107"/>
      <c r="AE12" s="13">
        <v>2019</v>
      </c>
      <c r="AF12">
        <v>21010</v>
      </c>
      <c r="AG12">
        <v>21050</v>
      </c>
      <c r="AH12">
        <v>21590</v>
      </c>
      <c r="AI12">
        <v>21765</v>
      </c>
      <c r="AJ12">
        <v>22145</v>
      </c>
    </row>
    <row r="13" spans="1:42">
      <c r="B13" s="100"/>
      <c r="C13" s="13">
        <v>2020</v>
      </c>
      <c r="D13">
        <v>59330</v>
      </c>
      <c r="E13">
        <v>60080</v>
      </c>
      <c r="F13">
        <v>60610</v>
      </c>
      <c r="G13">
        <v>62410</v>
      </c>
      <c r="H13">
        <v>62770</v>
      </c>
      <c r="J13" s="52">
        <f t="shared" si="2"/>
        <v>305200</v>
      </c>
      <c r="K13" s="52"/>
      <c r="L13" s="110">
        <f t="shared" si="3"/>
        <v>0.19439711664482306</v>
      </c>
      <c r="M13" s="110">
        <f t="shared" si="0"/>
        <v>0.19685452162516381</v>
      </c>
      <c r="N13" s="110">
        <f t="shared" si="0"/>
        <v>0.1985910878112713</v>
      </c>
      <c r="P13" s="103"/>
      <c r="Q13" s="13">
        <v>2020</v>
      </c>
      <c r="R13">
        <f>[2]T5!B8-[3]T5!B8</f>
        <v>38520</v>
      </c>
      <c r="S13">
        <f>[2]T5!C8-[3]T5!C8</f>
        <v>39010</v>
      </c>
      <c r="T13">
        <f>[2]T5!D8-[3]T5!D8</f>
        <v>39355</v>
      </c>
      <c r="U13">
        <f>[2]T5!E8-[3]T5!E8</f>
        <v>40520</v>
      </c>
      <c r="V13">
        <f>[2]T5!F8-[3]T5!F8</f>
        <v>40755</v>
      </c>
      <c r="X13" s="52">
        <f t="shared" si="4"/>
        <v>198160</v>
      </c>
      <c r="Y13" s="52"/>
      <c r="Z13" s="110">
        <f t="shared" si="5"/>
        <v>0.19438837303189341</v>
      </c>
      <c r="AA13" s="110">
        <f t="shared" si="1"/>
        <v>0.19686112232539363</v>
      </c>
      <c r="AB13" s="110">
        <f t="shared" si="1"/>
        <v>0.19860213968510296</v>
      </c>
      <c r="AD13" s="107"/>
      <c r="AE13" s="13">
        <v>2020</v>
      </c>
      <c r="AF13">
        <v>20810</v>
      </c>
      <c r="AG13">
        <v>21070</v>
      </c>
      <c r="AH13">
        <v>21255</v>
      </c>
      <c r="AI13">
        <v>21890</v>
      </c>
      <c r="AJ13">
        <v>22015</v>
      </c>
    </row>
    <row r="14" spans="1:42">
      <c r="B14" s="100"/>
      <c r="C14" s="13">
        <v>2021</v>
      </c>
      <c r="D14">
        <v>60860</v>
      </c>
      <c r="E14">
        <v>59520</v>
      </c>
      <c r="F14">
        <v>60420</v>
      </c>
      <c r="G14">
        <v>60930</v>
      </c>
      <c r="H14">
        <v>62640</v>
      </c>
      <c r="J14" s="52">
        <f t="shared" si="2"/>
        <v>304370</v>
      </c>
      <c r="K14" s="52"/>
      <c r="L14" s="110">
        <f t="shared" si="3"/>
        <v>0.19995400335118441</v>
      </c>
      <c r="M14" s="110">
        <f t="shared" si="0"/>
        <v>0.19555146696454972</v>
      </c>
      <c r="N14" s="110">
        <f t="shared" si="0"/>
        <v>0.19850839438840884</v>
      </c>
      <c r="P14" s="103"/>
      <c r="Q14" s="13">
        <v>2021</v>
      </c>
      <c r="R14">
        <f>[2]T5!B9-[3]T5!B9</f>
        <v>39705</v>
      </c>
      <c r="S14">
        <f>[2]T5!C9-[3]T5!C9</f>
        <v>38835</v>
      </c>
      <c r="T14">
        <f>[2]T5!D9-[3]T5!D9</f>
        <v>39420</v>
      </c>
      <c r="U14">
        <f>[2]T5!E9-[3]T5!E9</f>
        <v>39755</v>
      </c>
      <c r="V14">
        <f>[2]T5!F9-[3]T5!F9</f>
        <v>40870</v>
      </c>
      <c r="X14" s="52">
        <f t="shared" si="4"/>
        <v>198585</v>
      </c>
      <c r="Y14" s="52"/>
      <c r="Z14" s="110">
        <f t="shared" si="5"/>
        <v>0.19993957247526248</v>
      </c>
      <c r="AA14" s="110">
        <f t="shared" si="1"/>
        <v>0.19555857693179243</v>
      </c>
      <c r="AB14" s="110">
        <f t="shared" si="1"/>
        <v>0.19850441876274644</v>
      </c>
      <c r="AD14" s="107"/>
      <c r="AE14" s="13">
        <v>2021</v>
      </c>
      <c r="AF14">
        <v>21155</v>
      </c>
      <c r="AG14">
        <v>20685</v>
      </c>
      <c r="AH14">
        <v>21000</v>
      </c>
      <c r="AI14">
        <v>21175</v>
      </c>
      <c r="AJ14">
        <v>21770</v>
      </c>
    </row>
    <row r="15" spans="1:42">
      <c r="B15" s="100"/>
      <c r="C15" s="13">
        <v>2022</v>
      </c>
      <c r="D15">
        <v>60340</v>
      </c>
      <c r="E15">
        <v>60720</v>
      </c>
      <c r="F15">
        <v>59670</v>
      </c>
      <c r="G15">
        <v>60840</v>
      </c>
      <c r="H15">
        <v>61160</v>
      </c>
      <c r="J15" s="52">
        <f t="shared" si="2"/>
        <v>302730</v>
      </c>
      <c r="K15" s="52"/>
      <c r="L15" s="110">
        <f t="shared" si="3"/>
        <v>0.19931952564991906</v>
      </c>
      <c r="M15" s="110">
        <f t="shared" si="0"/>
        <v>0.20057476959667031</v>
      </c>
      <c r="N15" s="110">
        <f t="shared" si="0"/>
        <v>0.197106332375384</v>
      </c>
      <c r="P15" s="103"/>
      <c r="Q15" s="13">
        <v>2022</v>
      </c>
      <c r="R15">
        <f>[2]T5!B10-[3]T5!B10</f>
        <v>39585</v>
      </c>
      <c r="S15">
        <f>[2]T5!C10-[3]T5!C10</f>
        <v>39835</v>
      </c>
      <c r="T15">
        <f>[2]T5!D10-[3]T5!D10</f>
        <v>39145</v>
      </c>
      <c r="U15">
        <f>[2]T5!E10-[3]T5!E10</f>
        <v>39915</v>
      </c>
      <c r="V15">
        <f>[2]T5!F10-[3]T5!F10</f>
        <v>40125</v>
      </c>
      <c r="X15" s="52">
        <f t="shared" si="4"/>
        <v>198605</v>
      </c>
      <c r="Y15" s="52"/>
      <c r="Z15" s="110">
        <f t="shared" si="5"/>
        <v>0.1993152236852043</v>
      </c>
      <c r="AA15" s="110">
        <f t="shared" si="1"/>
        <v>0.20057400367563757</v>
      </c>
      <c r="AB15" s="110">
        <f t="shared" si="1"/>
        <v>0.19709977090204175</v>
      </c>
      <c r="AD15" s="107"/>
      <c r="AE15" s="13">
        <v>2022</v>
      </c>
      <c r="AF15">
        <v>20755</v>
      </c>
      <c r="AG15">
        <v>20885</v>
      </c>
      <c r="AH15">
        <v>20525</v>
      </c>
      <c r="AI15">
        <v>20925</v>
      </c>
      <c r="AJ15">
        <v>21035</v>
      </c>
    </row>
    <row r="16" spans="1:42">
      <c r="B16" s="100"/>
      <c r="C16" s="13">
        <v>2023</v>
      </c>
      <c r="D16">
        <v>56840</v>
      </c>
      <c r="E16">
        <v>60790</v>
      </c>
      <c r="F16">
        <v>61490</v>
      </c>
      <c r="G16">
        <v>60840</v>
      </c>
      <c r="H16">
        <v>62350</v>
      </c>
      <c r="J16" s="52">
        <f t="shared" si="2"/>
        <v>302310</v>
      </c>
      <c r="K16" s="52"/>
      <c r="L16" s="110">
        <f t="shared" si="3"/>
        <v>0.18801892097515796</v>
      </c>
      <c r="M16" s="110">
        <f t="shared" si="0"/>
        <v>0.20108497899507127</v>
      </c>
      <c r="N16" s="110">
        <f t="shared" si="0"/>
        <v>0.20340048294796731</v>
      </c>
      <c r="P16" s="103"/>
      <c r="Q16" s="13">
        <v>2023</v>
      </c>
      <c r="R16">
        <f>[2]T5!B11-[3]T5!B11</f>
        <v>37140</v>
      </c>
      <c r="S16">
        <f>[2]T5!C11-[3]T5!C11</f>
        <v>39720</v>
      </c>
      <c r="T16">
        <f>[2]T5!D11-[3]T5!D11</f>
        <v>40180</v>
      </c>
      <c r="U16">
        <f>[2]T5!E11-[3]T5!E11</f>
        <v>39755</v>
      </c>
      <c r="V16">
        <f>[2]T5!F11-[3]T5!F11</f>
        <v>40740</v>
      </c>
      <c r="X16" s="52">
        <f t="shared" si="4"/>
        <v>197535</v>
      </c>
      <c r="Y16" s="52"/>
      <c r="Z16" s="110">
        <f t="shared" si="5"/>
        <v>0.18801731338750094</v>
      </c>
      <c r="AA16" s="110">
        <f t="shared" si="1"/>
        <v>0.20107828992330473</v>
      </c>
      <c r="AB16" s="110">
        <f t="shared" si="1"/>
        <v>0.20340699116612246</v>
      </c>
      <c r="AD16" s="107"/>
      <c r="AE16" s="13">
        <v>2023</v>
      </c>
      <c r="AF16">
        <v>19700</v>
      </c>
      <c r="AG16">
        <v>21070</v>
      </c>
      <c r="AH16">
        <v>21310</v>
      </c>
      <c r="AI16">
        <v>21085</v>
      </c>
      <c r="AJ16">
        <v>21610</v>
      </c>
    </row>
    <row r="17" spans="2:42">
      <c r="B17" s="100"/>
      <c r="C17" s="13">
        <v>2024</v>
      </c>
      <c r="D17">
        <v>57070</v>
      </c>
      <c r="E17">
        <v>57190</v>
      </c>
      <c r="F17">
        <v>61700</v>
      </c>
      <c r="G17">
        <v>62510</v>
      </c>
      <c r="H17">
        <v>62230</v>
      </c>
      <c r="J17" s="52">
        <f t="shared" si="2"/>
        <v>300700</v>
      </c>
      <c r="K17" s="52"/>
      <c r="L17" s="110">
        <f t="shared" si="3"/>
        <v>0.18979048885932823</v>
      </c>
      <c r="M17" s="110">
        <f t="shared" si="0"/>
        <v>0.19018955769870302</v>
      </c>
      <c r="N17" s="110">
        <f t="shared" si="0"/>
        <v>0.20518789491187231</v>
      </c>
      <c r="P17" s="103"/>
      <c r="Q17" s="13">
        <v>2024</v>
      </c>
      <c r="R17">
        <f>[2]T5!B12-[3]T5!B12</f>
        <v>37105</v>
      </c>
      <c r="S17">
        <f>[2]T5!C12-[3]T5!C12</f>
        <v>37185</v>
      </c>
      <c r="T17">
        <f>[2]T5!D12-[3]T5!D12</f>
        <v>40115</v>
      </c>
      <c r="U17">
        <f>[2]T5!E12-[3]T5!E12</f>
        <v>40645</v>
      </c>
      <c r="V17">
        <f>[2]T5!F12-[3]T5!F12</f>
        <v>40460</v>
      </c>
      <c r="X17" s="52">
        <f t="shared" si="4"/>
        <v>195510</v>
      </c>
      <c r="Y17" s="52"/>
      <c r="Z17" s="110">
        <f t="shared" si="5"/>
        <v>0.18978568871157486</v>
      </c>
      <c r="AA17" s="110">
        <f t="shared" si="1"/>
        <v>0.19019487494245818</v>
      </c>
      <c r="AB17" s="110">
        <f t="shared" si="1"/>
        <v>0.20518132064856018</v>
      </c>
      <c r="AD17" s="107"/>
      <c r="AE17" s="13">
        <v>2024</v>
      </c>
      <c r="AF17">
        <v>19965</v>
      </c>
      <c r="AG17">
        <v>20005</v>
      </c>
      <c r="AH17">
        <v>21585</v>
      </c>
      <c r="AI17">
        <v>21865</v>
      </c>
      <c r="AJ17">
        <v>21770</v>
      </c>
    </row>
    <row r="18" spans="2:42">
      <c r="B18" s="100"/>
      <c r="C18" s="40"/>
      <c r="P18" s="103"/>
      <c r="Q18" s="40"/>
      <c r="AD18" s="107"/>
    </row>
    <row r="19" spans="2:42">
      <c r="B19" s="100"/>
      <c r="C19" s="40" t="s">
        <v>253</v>
      </c>
      <c r="J19" s="40" t="s">
        <v>254</v>
      </c>
      <c r="P19" s="104"/>
      <c r="Q19" s="40" t="s">
        <v>253</v>
      </c>
      <c r="X19" s="40" t="s">
        <v>254</v>
      </c>
      <c r="AD19" s="108"/>
      <c r="AE19" s="40" t="s">
        <v>253</v>
      </c>
      <c r="AL19" s="40" t="s">
        <v>254</v>
      </c>
    </row>
    <row r="20" spans="2:42">
      <c r="B20" s="100"/>
      <c r="C20" s="13"/>
      <c r="D20" s="13" t="s">
        <v>255</v>
      </c>
      <c r="E20" s="13" t="s">
        <v>256</v>
      </c>
      <c r="F20" s="13" t="s">
        <v>257</v>
      </c>
      <c r="G20" s="13" t="s">
        <v>258</v>
      </c>
      <c r="H20" s="13" t="s">
        <v>259</v>
      </c>
      <c r="J20" s="13" t="s">
        <v>255</v>
      </c>
      <c r="K20" s="13" t="s">
        <v>256</v>
      </c>
      <c r="L20" s="13" t="s">
        <v>257</v>
      </c>
      <c r="M20" s="13" t="s">
        <v>258</v>
      </c>
      <c r="N20" s="13" t="s">
        <v>259</v>
      </c>
      <c r="P20" s="104"/>
      <c r="Q20" s="13"/>
      <c r="R20" s="13" t="s">
        <v>255</v>
      </c>
      <c r="S20" s="13" t="s">
        <v>256</v>
      </c>
      <c r="T20" s="13" t="s">
        <v>257</v>
      </c>
      <c r="U20" s="13" t="s">
        <v>258</v>
      </c>
      <c r="V20" s="13" t="s">
        <v>259</v>
      </c>
      <c r="X20" s="13" t="s">
        <v>255</v>
      </c>
      <c r="Y20" s="13" t="s">
        <v>256</v>
      </c>
      <c r="Z20" s="13" t="s">
        <v>257</v>
      </c>
      <c r="AA20" s="13" t="s">
        <v>258</v>
      </c>
      <c r="AB20" s="13" t="s">
        <v>259</v>
      </c>
      <c r="AD20" s="108"/>
      <c r="AF20" s="13" t="s">
        <v>255</v>
      </c>
      <c r="AG20" s="13" t="s">
        <v>256</v>
      </c>
      <c r="AH20" s="13" t="s">
        <v>257</v>
      </c>
      <c r="AI20" s="13" t="s">
        <v>258</v>
      </c>
      <c r="AJ20" s="13" t="s">
        <v>259</v>
      </c>
      <c r="AL20" s="13" t="s">
        <v>255</v>
      </c>
      <c r="AM20" s="13" t="s">
        <v>256</v>
      </c>
      <c r="AN20" s="13" t="s">
        <v>257</v>
      </c>
      <c r="AO20" s="13" t="s">
        <v>258</v>
      </c>
      <c r="AP20" s="13" t="s">
        <v>259</v>
      </c>
    </row>
    <row r="21" spans="2:42">
      <c r="B21" s="100"/>
      <c r="C21" s="13">
        <v>2015</v>
      </c>
      <c r="D21">
        <v>9774</v>
      </c>
      <c r="E21">
        <v>26312</v>
      </c>
      <c r="F21">
        <v>40320</v>
      </c>
      <c r="G21">
        <v>57332</v>
      </c>
      <c r="H21">
        <v>61354</v>
      </c>
      <c r="J21" s="10">
        <f>D21/SUM($D21:$H21)</f>
        <v>5.0099440264080537E-2</v>
      </c>
      <c r="K21" s="10">
        <f t="shared" ref="K21:N21" si="6">E21/SUM($D21:$H21)</f>
        <v>0.13486970249933364</v>
      </c>
      <c r="L21" s="10">
        <f t="shared" si="6"/>
        <v>0.20667172410965085</v>
      </c>
      <c r="M21" s="10">
        <f t="shared" si="6"/>
        <v>0.29387160929202633</v>
      </c>
      <c r="N21" s="10">
        <f t="shared" si="6"/>
        <v>0.31448752383490863</v>
      </c>
      <c r="P21" s="104"/>
      <c r="Q21" s="13">
        <v>2015</v>
      </c>
      <c r="R21">
        <f>[2]T5!B16-[3]T5!B16</f>
        <v>6392</v>
      </c>
      <c r="S21">
        <f>[2]T5!C16-[3]T5!C16</f>
        <v>17680</v>
      </c>
      <c r="T21">
        <f>[2]T5!D16-[3]T5!D16</f>
        <v>26978</v>
      </c>
      <c r="U21">
        <f>[2]T5!E16-[3]T5!E16</f>
        <v>37789</v>
      </c>
      <c r="V21">
        <f>[2]T5!F16-[3]T5!F16</f>
        <v>40304</v>
      </c>
      <c r="X21" s="10">
        <f>R21/SUM($R21:$V21)</f>
        <v>4.9495520469557006E-2</v>
      </c>
      <c r="Y21" s="10">
        <f t="shared" ref="Y21:AB21" si="7">S21/SUM($R21:$V21)</f>
        <v>0.13690250342643426</v>
      </c>
      <c r="Z21" s="10">
        <f t="shared" si="7"/>
        <v>0.20890021139357146</v>
      </c>
      <c r="AA21" s="10">
        <f t="shared" si="7"/>
        <v>0.29261361436547084</v>
      </c>
      <c r="AB21" s="10">
        <f t="shared" si="7"/>
        <v>0.31208815034496645</v>
      </c>
      <c r="AD21" s="108"/>
      <c r="AE21" s="13">
        <v>2015</v>
      </c>
      <c r="AF21">
        <v>3382</v>
      </c>
      <c r="AG21">
        <v>8632</v>
      </c>
      <c r="AH21">
        <v>13342</v>
      </c>
      <c r="AI21">
        <v>19543</v>
      </c>
      <c r="AJ21">
        <v>21050</v>
      </c>
      <c r="AL21">
        <v>5.128205128205128E-2</v>
      </c>
      <c r="AM21">
        <v>0.13088902030356792</v>
      </c>
      <c r="AN21">
        <v>0.20230784394001425</v>
      </c>
      <c r="AO21">
        <v>0.29633504677857131</v>
      </c>
      <c r="AP21">
        <v>0.31918603769579523</v>
      </c>
    </row>
    <row r="22" spans="2:42">
      <c r="B22" s="100"/>
      <c r="C22" s="13">
        <v>2016</v>
      </c>
      <c r="D22">
        <v>10076</v>
      </c>
      <c r="E22">
        <v>28066</v>
      </c>
      <c r="F22">
        <v>41250</v>
      </c>
      <c r="G22">
        <v>58529</v>
      </c>
      <c r="H22">
        <v>61592</v>
      </c>
      <c r="J22" s="10">
        <f t="shared" ref="J22:N30" si="8">D22/SUM($D22:$H22)</f>
        <v>5.0502974743500427E-2</v>
      </c>
      <c r="K22" s="10">
        <f t="shared" si="8"/>
        <v>0.14067253762912693</v>
      </c>
      <c r="L22" s="10">
        <f t="shared" si="8"/>
        <v>0.20675344463769277</v>
      </c>
      <c r="M22" s="10">
        <f t="shared" si="8"/>
        <v>0.29335932996847325</v>
      </c>
      <c r="N22" s="10">
        <f t="shared" si="8"/>
        <v>0.30871171302120665</v>
      </c>
      <c r="P22" s="104"/>
      <c r="Q22" s="13">
        <v>2016</v>
      </c>
      <c r="R22">
        <f>[2]T5!B17-[3]T5!B17</f>
        <v>6950</v>
      </c>
      <c r="S22">
        <f>[2]T5!C17-[3]T5!C17</f>
        <v>18719</v>
      </c>
      <c r="T22">
        <f>[2]T5!D17-[3]T5!D17</f>
        <v>27647</v>
      </c>
      <c r="U22">
        <f>[2]T5!E17-[3]T5!E17</f>
        <v>38482</v>
      </c>
      <c r="V22">
        <f>[2]T5!F17-[3]T5!F17</f>
        <v>40372</v>
      </c>
      <c r="X22" s="10">
        <f t="shared" ref="X22:AB30" si="9">R22/SUM($R22:$V22)</f>
        <v>5.2583793599152606E-2</v>
      </c>
      <c r="Y22" s="10">
        <f t="shared" si="9"/>
        <v>0.14162820609820687</v>
      </c>
      <c r="Z22" s="10">
        <f t="shared" si="9"/>
        <v>0.20917757433608231</v>
      </c>
      <c r="AA22" s="10">
        <f t="shared" si="9"/>
        <v>0.29115533025648788</v>
      </c>
      <c r="AB22" s="10">
        <f t="shared" si="9"/>
        <v>0.30545509571007035</v>
      </c>
      <c r="AD22" s="108"/>
      <c r="AE22" s="13">
        <v>2016</v>
      </c>
      <c r="AF22">
        <v>3126</v>
      </c>
      <c r="AG22">
        <v>9347</v>
      </c>
      <c r="AH22">
        <v>13603</v>
      </c>
      <c r="AI22">
        <v>20047</v>
      </c>
      <c r="AJ22">
        <v>21220</v>
      </c>
      <c r="AL22">
        <v>4.6419078449133538E-2</v>
      </c>
      <c r="AM22">
        <v>0.13879690539477005</v>
      </c>
      <c r="AN22">
        <v>0.20199575308495316</v>
      </c>
      <c r="AO22">
        <v>0.2976849858188676</v>
      </c>
      <c r="AP22">
        <v>0.31510327725227566</v>
      </c>
    </row>
    <row r="23" spans="2:42">
      <c r="B23" s="100"/>
      <c r="C23" s="13">
        <v>2017</v>
      </c>
      <c r="D23">
        <v>10549</v>
      </c>
      <c r="E23">
        <v>28467</v>
      </c>
      <c r="F23">
        <v>42504</v>
      </c>
      <c r="G23">
        <v>57052</v>
      </c>
      <c r="H23">
        <v>61763</v>
      </c>
      <c r="J23" s="10">
        <f t="shared" si="8"/>
        <v>5.265679986023411E-2</v>
      </c>
      <c r="K23" s="10">
        <f t="shared" si="8"/>
        <v>0.14209698754586067</v>
      </c>
      <c r="L23" s="10">
        <f t="shared" si="8"/>
        <v>0.21216462425437393</v>
      </c>
      <c r="M23" s="10">
        <f t="shared" si="8"/>
        <v>0.28478298849427208</v>
      </c>
      <c r="N23" s="10">
        <f t="shared" si="8"/>
        <v>0.3082985998452592</v>
      </c>
      <c r="P23" s="104"/>
      <c r="Q23" s="13">
        <v>2017</v>
      </c>
      <c r="R23">
        <f>[2]T5!B18-[3]T5!B18</f>
        <v>7059</v>
      </c>
      <c r="S23">
        <f>[2]T5!C18-[3]T5!C18</f>
        <v>19206</v>
      </c>
      <c r="T23">
        <f>[2]T5!D18-[3]T5!D18</f>
        <v>28171</v>
      </c>
      <c r="U23">
        <f>[2]T5!E18-[3]T5!E18</f>
        <v>37575</v>
      </c>
      <c r="V23">
        <f>[2]T5!F18-[3]T5!F18</f>
        <v>40366</v>
      </c>
      <c r="X23" s="10">
        <f t="shared" si="9"/>
        <v>5.3324973371507135E-2</v>
      </c>
      <c r="Y23" s="10">
        <f t="shared" si="9"/>
        <v>0.14508562665719876</v>
      </c>
      <c r="Z23" s="10">
        <f t="shared" si="9"/>
        <v>0.21280887163177895</v>
      </c>
      <c r="AA23" s="10">
        <f t="shared" si="9"/>
        <v>0.28384840266813721</v>
      </c>
      <c r="AB23" s="10">
        <f t="shared" si="9"/>
        <v>0.30493212567137795</v>
      </c>
      <c r="AD23" s="108"/>
      <c r="AE23" s="13">
        <v>2017</v>
      </c>
      <c r="AF23">
        <v>3490</v>
      </c>
      <c r="AG23">
        <v>9261</v>
      </c>
      <c r="AH23">
        <v>14333</v>
      </c>
      <c r="AI23">
        <v>19477</v>
      </c>
      <c r="AJ23">
        <v>21397</v>
      </c>
      <c r="AL23">
        <v>5.1355248830159801E-2</v>
      </c>
      <c r="AM23">
        <v>0.13627534653756732</v>
      </c>
      <c r="AN23">
        <v>0.21090967950793138</v>
      </c>
      <c r="AO23">
        <v>0.28660349039112393</v>
      </c>
      <c r="AP23">
        <v>0.31485623473321755</v>
      </c>
    </row>
    <row r="24" spans="2:42">
      <c r="B24" s="100"/>
      <c r="C24" s="13">
        <v>2018</v>
      </c>
      <c r="D24">
        <v>9538</v>
      </c>
      <c r="E24">
        <v>28725</v>
      </c>
      <c r="F24">
        <v>42326</v>
      </c>
      <c r="G24">
        <v>56725</v>
      </c>
      <c r="H24">
        <v>59675</v>
      </c>
      <c r="J24" s="10">
        <f t="shared" si="8"/>
        <v>4.8418947250861724E-2</v>
      </c>
      <c r="K24" s="10">
        <f t="shared" si="8"/>
        <v>0.14582032499276609</v>
      </c>
      <c r="L24" s="10">
        <f t="shared" si="8"/>
        <v>0.2148647894044845</v>
      </c>
      <c r="M24" s="10">
        <f t="shared" si="8"/>
        <v>0.28796024143480092</v>
      </c>
      <c r="N24" s="10">
        <f t="shared" si="8"/>
        <v>0.30293569691708672</v>
      </c>
      <c r="P24" s="104"/>
      <c r="Q24" s="13">
        <v>2018</v>
      </c>
      <c r="R24">
        <f>[2]T5!B19-[3]T5!B19</f>
        <v>6427</v>
      </c>
      <c r="S24">
        <f>[2]T5!C19-[3]T5!C19</f>
        <v>18998</v>
      </c>
      <c r="T24">
        <f>[2]T5!D19-[3]T5!D19</f>
        <v>28219</v>
      </c>
      <c r="U24">
        <f>[2]T5!E19-[3]T5!E19</f>
        <v>36904</v>
      </c>
      <c r="V24">
        <f>[2]T5!F19-[3]T5!F19</f>
        <v>38931</v>
      </c>
      <c r="X24" s="10">
        <f t="shared" si="9"/>
        <v>4.9637392936306271E-2</v>
      </c>
      <c r="Y24" s="10">
        <f t="shared" si="9"/>
        <v>0.14672649618857111</v>
      </c>
      <c r="Z24" s="10">
        <f t="shared" si="9"/>
        <v>0.21794267796322184</v>
      </c>
      <c r="AA24" s="10">
        <f t="shared" si="9"/>
        <v>0.28501919230145428</v>
      </c>
      <c r="AB24" s="10">
        <f t="shared" si="9"/>
        <v>0.30067424061044651</v>
      </c>
      <c r="AD24" s="108"/>
      <c r="AE24" s="13">
        <v>2018</v>
      </c>
      <c r="AF24">
        <v>3111</v>
      </c>
      <c r="AG24">
        <v>9727</v>
      </c>
      <c r="AH24">
        <v>14107</v>
      </c>
      <c r="AI24">
        <v>19821</v>
      </c>
      <c r="AJ24">
        <v>20744</v>
      </c>
      <c r="AL24">
        <v>4.6082061916753077E-2</v>
      </c>
      <c r="AM24">
        <v>0.14408235816916012</v>
      </c>
      <c r="AN24">
        <v>0.20896163531328693</v>
      </c>
      <c r="AO24">
        <v>0.29360094800770259</v>
      </c>
      <c r="AP24">
        <v>0.30727299659309731</v>
      </c>
    </row>
    <row r="25" spans="2:42">
      <c r="B25" s="100"/>
      <c r="C25" s="13">
        <v>2019</v>
      </c>
      <c r="D25">
        <v>9319</v>
      </c>
      <c r="E25">
        <v>28217</v>
      </c>
      <c r="F25">
        <v>42626</v>
      </c>
      <c r="G25">
        <v>55588</v>
      </c>
      <c r="H25">
        <v>59229</v>
      </c>
      <c r="J25" s="10">
        <f t="shared" si="8"/>
        <v>4.7794890731822401E-2</v>
      </c>
      <c r="K25" s="10">
        <f t="shared" si="8"/>
        <v>0.14471814913400929</v>
      </c>
      <c r="L25" s="10">
        <f t="shared" si="8"/>
        <v>0.21861841531652126</v>
      </c>
      <c r="M25" s="10">
        <f t="shared" si="8"/>
        <v>0.28509736946030084</v>
      </c>
      <c r="N25" s="10">
        <f t="shared" si="8"/>
        <v>0.30377117535734616</v>
      </c>
      <c r="P25" s="104"/>
      <c r="Q25" s="13">
        <v>2019</v>
      </c>
      <c r="R25">
        <f>[2]T5!B20-[3]T5!B20</f>
        <v>6181</v>
      </c>
      <c r="S25">
        <f>[2]T5!C20-[3]T5!C20</f>
        <v>18686</v>
      </c>
      <c r="T25">
        <f>[2]T5!D20-[3]T5!D20</f>
        <v>27985</v>
      </c>
      <c r="U25">
        <f>[2]T5!E20-[3]T5!E20</f>
        <v>36581</v>
      </c>
      <c r="V25">
        <f>[2]T5!F20-[3]T5!F20</f>
        <v>38233</v>
      </c>
      <c r="X25" s="10">
        <f t="shared" si="9"/>
        <v>4.8415396425046608E-2</v>
      </c>
      <c r="Y25" s="10">
        <f t="shared" si="9"/>
        <v>0.14636629956292199</v>
      </c>
      <c r="Z25" s="10">
        <f t="shared" si="9"/>
        <v>0.2192048000250654</v>
      </c>
      <c r="AA25" s="10">
        <f t="shared" si="9"/>
        <v>0.28653674431720272</v>
      </c>
      <c r="AB25" s="10">
        <f t="shared" si="9"/>
        <v>0.29947675966976328</v>
      </c>
      <c r="AD25" s="108"/>
      <c r="AE25" s="13">
        <v>2019</v>
      </c>
      <c r="AF25">
        <v>3138</v>
      </c>
      <c r="AG25">
        <v>9531</v>
      </c>
      <c r="AH25">
        <v>14641</v>
      </c>
      <c r="AI25">
        <v>19007</v>
      </c>
      <c r="AJ25">
        <v>20996</v>
      </c>
      <c r="AL25">
        <v>4.6618038120422506E-2</v>
      </c>
      <c r="AM25">
        <v>0.1415922630101169</v>
      </c>
      <c r="AN25">
        <v>0.21750627664789862</v>
      </c>
      <c r="AO25">
        <v>0.28236744759556104</v>
      </c>
      <c r="AP25">
        <v>0.3119159746260009</v>
      </c>
    </row>
    <row r="26" spans="2:42">
      <c r="B26" s="100"/>
      <c r="C26" s="13">
        <v>2020</v>
      </c>
      <c r="D26">
        <v>7939</v>
      </c>
      <c r="E26">
        <v>25840</v>
      </c>
      <c r="F26">
        <v>39965</v>
      </c>
      <c r="G26">
        <v>53957</v>
      </c>
      <c r="H26">
        <v>57578</v>
      </c>
      <c r="J26" s="10">
        <f t="shared" si="8"/>
        <v>4.2848892750932378E-2</v>
      </c>
      <c r="K26" s="10">
        <f t="shared" si="8"/>
        <v>0.13946534685528311</v>
      </c>
      <c r="L26" s="10">
        <f t="shared" si="8"/>
        <v>0.21570172550585873</v>
      </c>
      <c r="M26" s="10">
        <f t="shared" si="8"/>
        <v>0.29122026781232629</v>
      </c>
      <c r="N26" s="10">
        <f t="shared" si="8"/>
        <v>0.3107637670755995</v>
      </c>
      <c r="P26" s="104"/>
      <c r="Q26" s="13">
        <v>2020</v>
      </c>
      <c r="R26">
        <f>[2]T5!B21-[3]T5!B21</f>
        <v>5307</v>
      </c>
      <c r="S26">
        <f>[2]T5!C21-[3]T5!C21</f>
        <v>17141</v>
      </c>
      <c r="T26">
        <f>[2]T5!D21-[3]T5!D21</f>
        <v>26790</v>
      </c>
      <c r="U26">
        <f>[2]T5!E21-[3]T5!E21</f>
        <v>35435</v>
      </c>
      <c r="V26">
        <f>[2]T5!F21-[3]T5!F21</f>
        <v>37961</v>
      </c>
      <c r="X26" s="10">
        <f t="shared" si="9"/>
        <v>4.3275111306815404E-2</v>
      </c>
      <c r="Y26" s="10">
        <f t="shared" si="9"/>
        <v>0.13977363537028883</v>
      </c>
      <c r="Z26" s="10">
        <f t="shared" si="9"/>
        <v>0.21845491462400313</v>
      </c>
      <c r="AA26" s="10">
        <f t="shared" si="9"/>
        <v>0.28894923104522402</v>
      </c>
      <c r="AB26" s="10">
        <f t="shared" si="9"/>
        <v>0.30954710765366866</v>
      </c>
      <c r="AD26" s="108"/>
      <c r="AE26" s="13">
        <v>2020</v>
      </c>
      <c r="AF26">
        <v>2632</v>
      </c>
      <c r="AG26">
        <v>8699</v>
      </c>
      <c r="AH26">
        <v>13175</v>
      </c>
      <c r="AI26">
        <v>18522</v>
      </c>
      <c r="AJ26">
        <v>19617</v>
      </c>
      <c r="AL26">
        <v>4.2014526298986353E-2</v>
      </c>
      <c r="AM26">
        <v>0.13886184052997047</v>
      </c>
      <c r="AN26">
        <v>0.21031207598371776</v>
      </c>
      <c r="AO26">
        <v>0.29566605475297308</v>
      </c>
      <c r="AP26">
        <v>0.3131455024343523</v>
      </c>
    </row>
    <row r="27" spans="2:42">
      <c r="B27" s="100"/>
      <c r="C27" s="13">
        <v>2021</v>
      </c>
      <c r="D27">
        <v>9808</v>
      </c>
      <c r="E27">
        <v>29274</v>
      </c>
      <c r="F27">
        <v>41556</v>
      </c>
      <c r="G27">
        <v>53139</v>
      </c>
      <c r="H27">
        <v>57680</v>
      </c>
      <c r="J27" s="10">
        <f t="shared" si="8"/>
        <v>5.1228213123573438E-2</v>
      </c>
      <c r="K27" s="10">
        <f t="shared" si="8"/>
        <v>0.15290117363167707</v>
      </c>
      <c r="L27" s="10">
        <f t="shared" si="8"/>
        <v>0.2170513483445369</v>
      </c>
      <c r="M27" s="10">
        <f t="shared" si="8"/>
        <v>0.27755057271345523</v>
      </c>
      <c r="N27" s="10">
        <f t="shared" si="8"/>
        <v>0.30126869218675734</v>
      </c>
      <c r="P27" s="104"/>
      <c r="Q27" s="13">
        <v>2021</v>
      </c>
      <c r="R27">
        <f>[2]T5!B22-[3]T5!B22</f>
        <v>6422</v>
      </c>
      <c r="S27">
        <f>[2]T5!C22-[3]T5!C22</f>
        <v>19332</v>
      </c>
      <c r="T27">
        <f>[2]T5!D22-[3]T5!D22</f>
        <v>27902</v>
      </c>
      <c r="U27">
        <f>[2]T5!E22-[3]T5!E22</f>
        <v>35576</v>
      </c>
      <c r="V27">
        <f>[2]T5!F22-[3]T5!F22</f>
        <v>38054</v>
      </c>
      <c r="X27" s="10">
        <f t="shared" si="9"/>
        <v>5.0453309869113651E-2</v>
      </c>
      <c r="Y27" s="10">
        <f t="shared" si="9"/>
        <v>0.15187844696195968</v>
      </c>
      <c r="Z27" s="10">
        <f t="shared" si="9"/>
        <v>0.21920713982684664</v>
      </c>
      <c r="AA27" s="10">
        <f t="shared" si="9"/>
        <v>0.27949656678660656</v>
      </c>
      <c r="AB27" s="10">
        <f t="shared" si="9"/>
        <v>0.2989645365554735</v>
      </c>
      <c r="AD27" s="108"/>
      <c r="AE27" s="13">
        <v>2021</v>
      </c>
      <c r="AF27">
        <v>3386</v>
      </c>
      <c r="AG27">
        <v>9942</v>
      </c>
      <c r="AH27">
        <v>13654</v>
      </c>
      <c r="AI27">
        <v>17563</v>
      </c>
      <c r="AJ27">
        <v>19626</v>
      </c>
      <c r="AL27">
        <v>5.2765267800096619E-2</v>
      </c>
      <c r="AM27">
        <v>0.15492979694877748</v>
      </c>
      <c r="AN27">
        <v>0.21277524115254554</v>
      </c>
      <c r="AO27">
        <v>0.27369060790699851</v>
      </c>
      <c r="AP27">
        <v>0.30583908619158184</v>
      </c>
    </row>
    <row r="28" spans="2:42">
      <c r="B28" s="100"/>
      <c r="C28" s="13">
        <v>2022</v>
      </c>
      <c r="D28">
        <v>9788</v>
      </c>
      <c r="E28">
        <v>28460</v>
      </c>
      <c r="F28">
        <v>39242</v>
      </c>
      <c r="G28">
        <v>48843</v>
      </c>
      <c r="H28">
        <v>52080</v>
      </c>
      <c r="J28" s="10">
        <f t="shared" si="8"/>
        <v>5.4861473098933376E-2</v>
      </c>
      <c r="K28" s="10">
        <f t="shared" si="8"/>
        <v>0.159517523947246</v>
      </c>
      <c r="L28" s="10">
        <f t="shared" si="8"/>
        <v>0.21995033994159618</v>
      </c>
      <c r="M28" s="10">
        <f t="shared" si="8"/>
        <v>0.27376368313968152</v>
      </c>
      <c r="N28" s="10">
        <f t="shared" si="8"/>
        <v>0.29190697987254294</v>
      </c>
      <c r="P28" s="104"/>
      <c r="Q28" s="13">
        <v>2022</v>
      </c>
      <c r="R28">
        <f>[2]T5!B23-[3]T5!B23</f>
        <v>6562</v>
      </c>
      <c r="S28">
        <f>[2]T5!C23-[3]T5!C23</f>
        <v>18918</v>
      </c>
      <c r="T28">
        <f>[2]T5!D23-[3]T5!D23</f>
        <v>26351</v>
      </c>
      <c r="U28">
        <f>[2]T5!E23-[3]T5!E23</f>
        <v>32797</v>
      </c>
      <c r="V28">
        <f>[2]T5!F23-[3]T5!F23</f>
        <v>34849</v>
      </c>
      <c r="X28" s="10">
        <f t="shared" si="9"/>
        <v>5.492270478836931E-2</v>
      </c>
      <c r="Y28" s="10">
        <f t="shared" si="9"/>
        <v>0.15834009893117504</v>
      </c>
      <c r="Z28" s="10">
        <f t="shared" si="9"/>
        <v>0.2205529097650594</v>
      </c>
      <c r="AA28" s="10">
        <f t="shared" si="9"/>
        <v>0.27450471638892843</v>
      </c>
      <c r="AB28" s="10">
        <f t="shared" si="9"/>
        <v>0.29167957012646784</v>
      </c>
      <c r="AD28" s="108"/>
      <c r="AE28" s="13">
        <v>2022</v>
      </c>
      <c r="AF28">
        <v>3226</v>
      </c>
      <c r="AG28">
        <v>9542</v>
      </c>
      <c r="AH28">
        <v>12891</v>
      </c>
      <c r="AI28">
        <v>16046</v>
      </c>
      <c r="AJ28">
        <v>17231</v>
      </c>
      <c r="AL28">
        <v>5.473734220171033E-2</v>
      </c>
      <c r="AM28">
        <v>0.16190443871318039</v>
      </c>
      <c r="AN28">
        <v>0.21872879055246369</v>
      </c>
      <c r="AO28">
        <v>0.27226143613411158</v>
      </c>
      <c r="AP28">
        <v>0.292367992398534</v>
      </c>
    </row>
    <row r="29" spans="2:42">
      <c r="B29" s="100"/>
      <c r="C29" s="13">
        <v>2023</v>
      </c>
      <c r="D29">
        <v>9352</v>
      </c>
      <c r="E29">
        <v>30696</v>
      </c>
      <c r="F29">
        <v>42490</v>
      </c>
      <c r="G29">
        <v>51477</v>
      </c>
      <c r="H29">
        <v>54325</v>
      </c>
      <c r="J29" s="10">
        <f t="shared" si="8"/>
        <v>4.965487947329298E-2</v>
      </c>
      <c r="K29" s="10">
        <f t="shared" si="8"/>
        <v>0.16298184135074864</v>
      </c>
      <c r="L29" s="10">
        <f t="shared" si="8"/>
        <v>0.2256026335350961</v>
      </c>
      <c r="M29" s="10">
        <f t="shared" si="8"/>
        <v>0.27331952851226504</v>
      </c>
      <c r="N29" s="10">
        <f t="shared" si="8"/>
        <v>0.28844111712859721</v>
      </c>
      <c r="P29" s="104"/>
      <c r="Q29" s="13">
        <v>2023</v>
      </c>
      <c r="R29">
        <f>[2]T5!B24-[3]T5!B24</f>
        <v>6289</v>
      </c>
      <c r="S29">
        <f>[2]T5!C24-[3]T5!C24</f>
        <v>20212</v>
      </c>
      <c r="T29">
        <f>[2]T5!D24-[3]T5!D24</f>
        <v>28200</v>
      </c>
      <c r="U29">
        <f>[2]T5!E24-[3]T5!E24</f>
        <v>33826</v>
      </c>
      <c r="V29">
        <f>[2]T5!F24-[3]T5!F24</f>
        <v>35959</v>
      </c>
      <c r="X29" s="10">
        <f t="shared" si="9"/>
        <v>5.0519737159198622E-2</v>
      </c>
      <c r="Y29" s="10">
        <f t="shared" si="9"/>
        <v>0.16236363928473885</v>
      </c>
      <c r="Z29" s="10">
        <f t="shared" si="9"/>
        <v>0.22653149751779317</v>
      </c>
      <c r="AA29" s="10">
        <f t="shared" si="9"/>
        <v>0.27172533457577558</v>
      </c>
      <c r="AB29" s="10">
        <f t="shared" si="9"/>
        <v>0.2888597914624938</v>
      </c>
      <c r="AD29" s="108"/>
      <c r="AE29" s="13">
        <v>2023</v>
      </c>
      <c r="AF29">
        <v>3063</v>
      </c>
      <c r="AG29">
        <v>10484</v>
      </c>
      <c r="AH29">
        <v>14290</v>
      </c>
      <c r="AI29">
        <v>17651</v>
      </c>
      <c r="AJ29">
        <v>18366</v>
      </c>
      <c r="AL29">
        <v>4.796880383374573E-2</v>
      </c>
      <c r="AM29">
        <v>0.16418705171171735</v>
      </c>
      <c r="AN29">
        <v>0.2237917749866884</v>
      </c>
      <c r="AO29">
        <v>0.27642747517774924</v>
      </c>
      <c r="AP29">
        <v>0.2876248942900993</v>
      </c>
    </row>
    <row r="30" spans="2:42">
      <c r="B30" s="100"/>
      <c r="C30" s="13">
        <v>2024</v>
      </c>
      <c r="D30">
        <v>9193</v>
      </c>
      <c r="E30">
        <v>28341</v>
      </c>
      <c r="F30">
        <v>44015</v>
      </c>
      <c r="G30">
        <v>53883</v>
      </c>
      <c r="H30">
        <v>55931</v>
      </c>
      <c r="J30" s="10">
        <f t="shared" si="8"/>
        <v>4.8039589680345732E-2</v>
      </c>
      <c r="K30" s="10">
        <f t="shared" si="8"/>
        <v>0.1481007300261806</v>
      </c>
      <c r="L30" s="10">
        <f t="shared" si="8"/>
        <v>0.2300078907625821</v>
      </c>
      <c r="M30" s="10">
        <f t="shared" si="8"/>
        <v>0.28157480808724777</v>
      </c>
      <c r="N30" s="10">
        <f t="shared" si="8"/>
        <v>0.29227698144364378</v>
      </c>
      <c r="P30" s="104"/>
      <c r="Q30" s="13">
        <v>2024</v>
      </c>
      <c r="R30">
        <f>[2]T5!B25-[3]T5!B25</f>
        <v>6052</v>
      </c>
      <c r="S30">
        <f>[2]T5!C25-[3]T5!C25</f>
        <v>18638</v>
      </c>
      <c r="T30">
        <f>[2]T5!D25-[3]T5!D25</f>
        <v>28812</v>
      </c>
      <c r="U30">
        <f>[2]T5!E25-[3]T5!E25</f>
        <v>35436</v>
      </c>
      <c r="V30">
        <f>[2]T5!F25-[3]T5!F25</f>
        <v>36370</v>
      </c>
      <c r="X30" s="10">
        <f t="shared" si="9"/>
        <v>4.8296996201359847E-2</v>
      </c>
      <c r="Y30" s="10">
        <f t="shared" si="9"/>
        <v>0.14873751077345421</v>
      </c>
      <c r="Z30" s="10">
        <f t="shared" si="9"/>
        <v>0.22992945382577329</v>
      </c>
      <c r="AA30" s="10">
        <f t="shared" si="9"/>
        <v>0.28279120247709644</v>
      </c>
      <c r="AB30" s="10">
        <f t="shared" si="9"/>
        <v>0.29024483672231621</v>
      </c>
      <c r="AD30" s="108"/>
      <c r="AE30" s="13">
        <v>2024</v>
      </c>
      <c r="AF30">
        <v>3141</v>
      </c>
      <c r="AG30">
        <v>9703</v>
      </c>
      <c r="AH30">
        <v>15203</v>
      </c>
      <c r="AI30">
        <v>18447</v>
      </c>
      <c r="AJ30">
        <v>19561</v>
      </c>
      <c r="AL30">
        <v>4.7551283021724323E-2</v>
      </c>
      <c r="AM30">
        <v>0.14689274089773674</v>
      </c>
      <c r="AN30">
        <v>0.23015668760881083</v>
      </c>
      <c r="AO30">
        <v>0.27926727726894257</v>
      </c>
      <c r="AP30">
        <v>0.29613201120278554</v>
      </c>
    </row>
    <row r="31" spans="2:42">
      <c r="B31" s="100"/>
      <c r="P31" s="104"/>
      <c r="AD31" s="108"/>
    </row>
    <row r="32" spans="2:42">
      <c r="B32" s="100"/>
      <c r="C32" s="40" t="s">
        <v>260</v>
      </c>
      <c r="P32" s="104"/>
      <c r="Q32" s="40" t="s">
        <v>260</v>
      </c>
      <c r="AD32" s="108"/>
      <c r="AE32" s="40" t="s">
        <v>260</v>
      </c>
    </row>
    <row r="33" spans="2:42">
      <c r="B33" s="100"/>
      <c r="C33" s="13"/>
      <c r="D33" s="13" t="s">
        <v>255</v>
      </c>
      <c r="E33" s="13" t="s">
        <v>256</v>
      </c>
      <c r="F33" s="13" t="s">
        <v>257</v>
      </c>
      <c r="G33" s="13" t="s">
        <v>258</v>
      </c>
      <c r="H33" s="13" t="s">
        <v>259</v>
      </c>
      <c r="I33" s="13" t="s">
        <v>261</v>
      </c>
      <c r="P33" s="104"/>
      <c r="Q33" s="13"/>
      <c r="R33" s="13" t="s">
        <v>255</v>
      </c>
      <c r="S33" s="13" t="s">
        <v>256</v>
      </c>
      <c r="T33" s="13" t="s">
        <v>257</v>
      </c>
      <c r="U33" s="13" t="s">
        <v>258</v>
      </c>
      <c r="V33" s="13" t="s">
        <v>259</v>
      </c>
      <c r="W33" s="13" t="s">
        <v>261</v>
      </c>
      <c r="Y33" s="13"/>
      <c r="AD33" s="108"/>
      <c r="AE33" s="13"/>
      <c r="AF33" s="13" t="s">
        <v>255</v>
      </c>
      <c r="AG33" s="13" t="s">
        <v>256</v>
      </c>
      <c r="AH33" s="13" t="s">
        <v>257</v>
      </c>
      <c r="AI33" s="13" t="s">
        <v>258</v>
      </c>
      <c r="AJ33" s="13" t="s">
        <v>259</v>
      </c>
      <c r="AK33" s="13" t="s">
        <v>261</v>
      </c>
    </row>
    <row r="34" spans="2:42">
      <c r="B34" s="100"/>
      <c r="C34" s="13">
        <v>2015</v>
      </c>
      <c r="D34" s="10">
        <f>D21/D8</f>
        <v>0.16602683879735008</v>
      </c>
      <c r="E34" s="10">
        <f t="shared" ref="E34:H34" si="10">E21/E8</f>
        <v>0.44581497797356828</v>
      </c>
      <c r="F34" s="10">
        <f t="shared" si="10"/>
        <v>0.657856093979442</v>
      </c>
      <c r="G34" s="10">
        <f t="shared" si="10"/>
        <v>0.91804643714971979</v>
      </c>
      <c r="H34" s="10">
        <f t="shared" si="10"/>
        <v>0.96498899024850582</v>
      </c>
      <c r="I34" s="5">
        <f t="shared" ref="I34:I43" si="11">SUM(D21:H21)/SUM(D8:H8)</f>
        <v>0.63920579273287248</v>
      </c>
      <c r="P34" s="104"/>
      <c r="Q34" s="13">
        <v>2015</v>
      </c>
      <c r="R34" s="10">
        <f>R21/R8</f>
        <v>0.16925724877532106</v>
      </c>
      <c r="S34" s="10">
        <f t="shared" ref="S34:V34" si="12">S21/S8</f>
        <v>0.46692195959329197</v>
      </c>
      <c r="T34" s="10">
        <f t="shared" si="12"/>
        <v>0.68611393692777212</v>
      </c>
      <c r="U34" s="10">
        <f t="shared" si="12"/>
        <v>0.94319231249220015</v>
      </c>
      <c r="V34" s="10">
        <f t="shared" si="12"/>
        <v>0.98808531502819319</v>
      </c>
      <c r="W34" s="5">
        <f t="shared" ref="W34:W43" si="13">SUM(R21:V21)/SUM(R8:V8)</f>
        <v>0.65954904113786672</v>
      </c>
      <c r="Y34" s="12"/>
      <c r="AD34" s="108"/>
      <c r="AE34" s="13">
        <v>2015</v>
      </c>
      <c r="AF34" s="10">
        <f>AF21/AF8</f>
        <v>0.16024638711205874</v>
      </c>
      <c r="AG34" s="10">
        <f t="shared" ref="AG34:AJ34" si="14">AG21/AG8</f>
        <v>0.40803592531316474</v>
      </c>
      <c r="AH34" s="10">
        <f t="shared" si="14"/>
        <v>0.60728265817023208</v>
      </c>
      <c r="AI34" s="10">
        <f t="shared" si="14"/>
        <v>0.87303998213089118</v>
      </c>
      <c r="AJ34" s="10">
        <f t="shared" si="14"/>
        <v>0.92365072400175519</v>
      </c>
      <c r="AK34" s="5">
        <f t="shared" ref="AK34:AK43" si="15">SUM(AF21:AJ21)/SUM(AF8:AJ8)</f>
        <v>0.60279694712307486</v>
      </c>
    </row>
    <row r="35" spans="2:42">
      <c r="B35" s="100"/>
      <c r="C35" s="13">
        <v>2016</v>
      </c>
      <c r="D35" s="10">
        <f t="shared" ref="D35:H43" si="16">D22/D9</f>
        <v>0.16962962962962963</v>
      </c>
      <c r="E35" s="10">
        <f t="shared" si="16"/>
        <v>0.47130142737195635</v>
      </c>
      <c r="F35" s="10">
        <f t="shared" si="16"/>
        <v>0.68772924308102701</v>
      </c>
      <c r="G35" s="10">
        <f t="shared" si="16"/>
        <v>0.93736386931454196</v>
      </c>
      <c r="H35" s="10">
        <f t="shared" si="16"/>
        <v>0.97240290495737292</v>
      </c>
      <c r="I35" s="5">
        <f t="shared" si="11"/>
        <v>0.65476354566637129</v>
      </c>
      <c r="P35" s="104"/>
      <c r="Q35" s="13">
        <v>2016</v>
      </c>
      <c r="R35" s="10">
        <f t="shared" ref="R35:V43" si="17">R22/R9</f>
        <v>0.18248654325850072</v>
      </c>
      <c r="S35" s="10">
        <f t="shared" si="17"/>
        <v>0.49028287061288633</v>
      </c>
      <c r="T35" s="10">
        <f t="shared" si="17"/>
        <v>0.71894422051748796</v>
      </c>
      <c r="U35" s="10">
        <f t="shared" si="17"/>
        <v>0.96120894217559638</v>
      </c>
      <c r="V35" s="10">
        <f t="shared" si="17"/>
        <v>0.99413937453829104</v>
      </c>
      <c r="W35" s="5">
        <f t="shared" si="13"/>
        <v>0.67652854912599492</v>
      </c>
      <c r="Y35" s="12"/>
      <c r="AD35" s="108"/>
      <c r="AE35" s="13">
        <v>2016</v>
      </c>
      <c r="AF35" s="10">
        <f t="shared" ref="AF35:AJ43" si="18">AF22/AF9</f>
        <v>0.14665728360309641</v>
      </c>
      <c r="AG35" s="10">
        <f t="shared" si="18"/>
        <v>0.43738886289190454</v>
      </c>
      <c r="AH35" s="10">
        <f t="shared" si="18"/>
        <v>0.63196283391405339</v>
      </c>
      <c r="AI35" s="10">
        <f t="shared" si="18"/>
        <v>0.89475563490292342</v>
      </c>
      <c r="AJ35" s="10">
        <f t="shared" si="18"/>
        <v>0.93356797184337881</v>
      </c>
      <c r="AK35" s="5">
        <f t="shared" si="15"/>
        <v>0.61587635465727741</v>
      </c>
    </row>
    <row r="36" spans="2:42">
      <c r="B36" s="100"/>
      <c r="C36" s="13">
        <v>2017</v>
      </c>
      <c r="D36" s="10">
        <f t="shared" si="16"/>
        <v>0.17537822111388196</v>
      </c>
      <c r="E36" s="10">
        <f t="shared" si="16"/>
        <v>0.4746873436718359</v>
      </c>
      <c r="F36" s="10">
        <f t="shared" si="16"/>
        <v>0.69953917050691239</v>
      </c>
      <c r="G36" s="10">
        <f t="shared" si="16"/>
        <v>0.93252696959790782</v>
      </c>
      <c r="H36" s="10">
        <f t="shared" si="16"/>
        <v>0.97325874566656156</v>
      </c>
      <c r="I36" s="5">
        <f t="shared" si="11"/>
        <v>0.65571811992668239</v>
      </c>
      <c r="P36" s="104"/>
      <c r="Q36" s="13">
        <v>2017</v>
      </c>
      <c r="R36" s="10">
        <f t="shared" si="17"/>
        <v>0.18259182617692707</v>
      </c>
      <c r="S36" s="10">
        <f t="shared" si="17"/>
        <v>0.49827474380594111</v>
      </c>
      <c r="T36" s="10">
        <f t="shared" si="17"/>
        <v>0.72140845070422532</v>
      </c>
      <c r="U36" s="10">
        <f t="shared" si="17"/>
        <v>0.95562054933875895</v>
      </c>
      <c r="V36" s="10">
        <f t="shared" si="17"/>
        <v>0.98972661517714844</v>
      </c>
      <c r="W36" s="5">
        <f t="shared" si="13"/>
        <v>0.67415461397433285</v>
      </c>
      <c r="Y36" s="12"/>
      <c r="AD36" s="108"/>
      <c r="AE36" s="13">
        <v>2017</v>
      </c>
      <c r="AF36" s="10">
        <f t="shared" si="18"/>
        <v>0.16240111679851094</v>
      </c>
      <c r="AG36" s="10">
        <f t="shared" si="18"/>
        <v>0.43225204200700118</v>
      </c>
      <c r="AH36" s="10">
        <f t="shared" si="18"/>
        <v>0.66020267157991708</v>
      </c>
      <c r="AI36" s="10">
        <f t="shared" si="18"/>
        <v>0.89098810612991763</v>
      </c>
      <c r="AJ36" s="10">
        <f t="shared" si="18"/>
        <v>0.94363836824696801</v>
      </c>
      <c r="AK36" s="5">
        <f t="shared" si="15"/>
        <v>0.62255404910223522</v>
      </c>
    </row>
    <row r="37" spans="2:42">
      <c r="B37" s="100"/>
      <c r="C37" s="13">
        <v>2018</v>
      </c>
      <c r="D37" s="10">
        <f t="shared" si="16"/>
        <v>0.16022173693935832</v>
      </c>
      <c r="E37" s="10">
        <f t="shared" si="16"/>
        <v>0.47463648380700596</v>
      </c>
      <c r="F37" s="10">
        <f t="shared" si="16"/>
        <v>0.69512235178190174</v>
      </c>
      <c r="G37" s="10">
        <f t="shared" si="16"/>
        <v>0.91669360051712989</v>
      </c>
      <c r="H37" s="10">
        <f t="shared" si="16"/>
        <v>0.95925092428869951</v>
      </c>
      <c r="I37" s="5">
        <f t="shared" si="11"/>
        <v>0.64580205225715503</v>
      </c>
      <c r="P37" s="104"/>
      <c r="Q37" s="13">
        <v>2018</v>
      </c>
      <c r="R37" s="10">
        <f t="shared" si="17"/>
        <v>0.16667531120331949</v>
      </c>
      <c r="S37" s="10">
        <f t="shared" si="17"/>
        <v>0.48458104833567145</v>
      </c>
      <c r="T37" s="10">
        <f t="shared" si="17"/>
        <v>0.71540119153251358</v>
      </c>
      <c r="U37" s="10">
        <f t="shared" si="17"/>
        <v>0.920643632281402</v>
      </c>
      <c r="V37" s="10">
        <f t="shared" si="17"/>
        <v>0.96602977667493795</v>
      </c>
      <c r="W37" s="5">
        <f t="shared" si="13"/>
        <v>0.65527467800298589</v>
      </c>
      <c r="Y37" s="12"/>
      <c r="AD37" s="108"/>
      <c r="AE37" s="13">
        <v>2018</v>
      </c>
      <c r="AF37" s="10">
        <f t="shared" si="18"/>
        <v>0.14835479256080114</v>
      </c>
      <c r="AG37" s="10">
        <f t="shared" si="18"/>
        <v>0.4563452967393854</v>
      </c>
      <c r="AH37" s="10">
        <f t="shared" si="18"/>
        <v>0.65782233620890651</v>
      </c>
      <c r="AI37" s="10">
        <f t="shared" si="18"/>
        <v>0.9094287680660702</v>
      </c>
      <c r="AJ37" s="10">
        <f t="shared" si="18"/>
        <v>0.94678229119123691</v>
      </c>
      <c r="AK37" s="5">
        <f t="shared" si="15"/>
        <v>0.62837995066784569</v>
      </c>
    </row>
    <row r="38" spans="2:42">
      <c r="B38" s="100"/>
      <c r="C38" s="13">
        <v>2019</v>
      </c>
      <c r="D38" s="10">
        <f t="shared" si="16"/>
        <v>0.15625419181757211</v>
      </c>
      <c r="E38" s="10">
        <f t="shared" si="16"/>
        <v>0.47225104602510459</v>
      </c>
      <c r="F38" s="10">
        <f t="shared" si="16"/>
        <v>0.69548050252896065</v>
      </c>
      <c r="G38" s="10">
        <f t="shared" si="16"/>
        <v>0.89962777148405892</v>
      </c>
      <c r="H38" s="10">
        <f t="shared" si="16"/>
        <v>0.94223671651288576</v>
      </c>
      <c r="I38" s="5">
        <f t="shared" si="11"/>
        <v>0.63858448236334453</v>
      </c>
      <c r="P38" s="104"/>
      <c r="Q38" s="13">
        <v>2019</v>
      </c>
      <c r="R38" s="10">
        <f t="shared" si="17"/>
        <v>0.16000517732332384</v>
      </c>
      <c r="S38" s="10">
        <f t="shared" si="17"/>
        <v>0.48284237726098189</v>
      </c>
      <c r="T38" s="10">
        <f t="shared" si="17"/>
        <v>0.704911838790932</v>
      </c>
      <c r="U38" s="10">
        <f t="shared" si="17"/>
        <v>0.91395377888819485</v>
      </c>
      <c r="V38" s="10">
        <f t="shared" si="17"/>
        <v>0.93903966597077249</v>
      </c>
      <c r="W38" s="5">
        <f t="shared" si="13"/>
        <v>0.64552763310916716</v>
      </c>
      <c r="Y38" s="12"/>
      <c r="AD38" s="108"/>
      <c r="AE38" s="13">
        <v>2019</v>
      </c>
      <c r="AF38" s="10">
        <f t="shared" si="18"/>
        <v>0.14935744883388863</v>
      </c>
      <c r="AG38" s="10">
        <f t="shared" si="18"/>
        <v>0.45277909738717342</v>
      </c>
      <c r="AH38" s="10">
        <f t="shared" si="18"/>
        <v>0.67813802686428903</v>
      </c>
      <c r="AI38" s="10">
        <f t="shared" si="18"/>
        <v>0.87328279347576387</v>
      </c>
      <c r="AJ38" s="10">
        <f t="shared" si="18"/>
        <v>0.94811469857755704</v>
      </c>
      <c r="AK38" s="5">
        <f t="shared" si="15"/>
        <v>0.6258181480104128</v>
      </c>
    </row>
    <row r="39" spans="2:42">
      <c r="B39" s="100"/>
      <c r="C39" s="13">
        <v>2020</v>
      </c>
      <c r="D39" s="10">
        <f t="shared" si="16"/>
        <v>0.13381088825214899</v>
      </c>
      <c r="E39" s="10">
        <f t="shared" si="16"/>
        <v>0.43009320905459386</v>
      </c>
      <c r="F39" s="10">
        <f t="shared" si="16"/>
        <v>0.65937964032337903</v>
      </c>
      <c r="G39" s="10">
        <f t="shared" si="16"/>
        <v>0.86455696202531651</v>
      </c>
      <c r="H39" s="10">
        <f t="shared" si="16"/>
        <v>0.91728532738569379</v>
      </c>
      <c r="I39" s="5">
        <f t="shared" si="11"/>
        <v>0.60707404980340762</v>
      </c>
      <c r="P39" s="104"/>
      <c r="Q39" s="13">
        <v>2020</v>
      </c>
      <c r="R39" s="10">
        <f t="shared" si="17"/>
        <v>0.13777258566978193</v>
      </c>
      <c r="S39" s="10">
        <f t="shared" si="17"/>
        <v>0.43940015380671621</v>
      </c>
      <c r="T39" s="10">
        <f t="shared" si="17"/>
        <v>0.68072671833312159</v>
      </c>
      <c r="U39" s="10">
        <f t="shared" si="17"/>
        <v>0.87450641658440276</v>
      </c>
      <c r="V39" s="10">
        <f t="shared" si="17"/>
        <v>0.93144399460188931</v>
      </c>
      <c r="W39" s="5">
        <f t="shared" si="13"/>
        <v>0.61886354461041582</v>
      </c>
      <c r="Y39" s="12"/>
      <c r="AD39" s="108"/>
      <c r="AE39" s="13">
        <v>2020</v>
      </c>
      <c r="AF39" s="10">
        <f t="shared" si="18"/>
        <v>0.12647765497357039</v>
      </c>
      <c r="AG39" s="10">
        <f t="shared" si="18"/>
        <v>0.41286188894162318</v>
      </c>
      <c r="AH39" s="10">
        <f t="shared" si="18"/>
        <v>0.61985415196424376</v>
      </c>
      <c r="AI39" s="10">
        <f t="shared" si="18"/>
        <v>0.84613978985838278</v>
      </c>
      <c r="AJ39" s="10">
        <f t="shared" si="18"/>
        <v>0.89107426754485575</v>
      </c>
      <c r="AK39" s="5">
        <f t="shared" si="15"/>
        <v>0.58524850523168914</v>
      </c>
    </row>
    <row r="40" spans="2:42">
      <c r="B40" s="100"/>
      <c r="C40" s="13">
        <v>2021</v>
      </c>
      <c r="D40" s="10">
        <f t="shared" si="16"/>
        <v>0.16115675320407494</v>
      </c>
      <c r="E40" s="10">
        <f t="shared" si="16"/>
        <v>0.49183467741935483</v>
      </c>
      <c r="F40" s="10">
        <f t="shared" si="16"/>
        <v>0.68778550148957296</v>
      </c>
      <c r="G40" s="10">
        <f t="shared" si="16"/>
        <v>0.87213195470211713</v>
      </c>
      <c r="H40" s="10">
        <f t="shared" si="16"/>
        <v>0.9208173690932312</v>
      </c>
      <c r="I40" s="5">
        <f t="shared" si="11"/>
        <v>0.62902717087755033</v>
      </c>
      <c r="P40" s="104"/>
      <c r="Q40" s="13">
        <v>2021</v>
      </c>
      <c r="R40" s="10">
        <f t="shared" si="17"/>
        <v>0.16174285354489359</v>
      </c>
      <c r="S40" s="10">
        <f t="shared" si="17"/>
        <v>0.49779837775202779</v>
      </c>
      <c r="T40" s="10">
        <f t="shared" si="17"/>
        <v>0.70781329274479965</v>
      </c>
      <c r="U40" s="10">
        <f t="shared" si="17"/>
        <v>0.89488114702553134</v>
      </c>
      <c r="V40" s="10">
        <f t="shared" si="17"/>
        <v>0.93109860533398581</v>
      </c>
      <c r="W40" s="5">
        <f t="shared" si="13"/>
        <v>0.64096482614497574</v>
      </c>
      <c r="Y40" s="12"/>
      <c r="AD40" s="108"/>
      <c r="AE40" s="13">
        <v>2021</v>
      </c>
      <c r="AF40" s="10">
        <f t="shared" si="18"/>
        <v>0.16005672417868116</v>
      </c>
      <c r="AG40" s="10">
        <f t="shared" si="18"/>
        <v>0.480638143582306</v>
      </c>
      <c r="AH40" s="10">
        <f t="shared" si="18"/>
        <v>0.65019047619047621</v>
      </c>
      <c r="AI40" s="10">
        <f t="shared" si="18"/>
        <v>0.82942148760330581</v>
      </c>
      <c r="AJ40" s="10">
        <f t="shared" si="18"/>
        <v>0.90151584749655489</v>
      </c>
      <c r="AK40" s="5">
        <f t="shared" si="15"/>
        <v>0.60661719525452573</v>
      </c>
    </row>
    <row r="41" spans="2:42">
      <c r="B41" s="100"/>
      <c r="C41" s="13">
        <v>2022</v>
      </c>
      <c r="D41" s="10">
        <f t="shared" si="16"/>
        <v>0.16221411998674179</v>
      </c>
      <c r="E41" s="10">
        <f t="shared" si="16"/>
        <v>0.46870882740447956</v>
      </c>
      <c r="F41" s="10">
        <f t="shared" si="16"/>
        <v>0.65765041059158702</v>
      </c>
      <c r="G41" s="10">
        <f t="shared" si="16"/>
        <v>0.80281065088757397</v>
      </c>
      <c r="H41" s="10">
        <f t="shared" si="16"/>
        <v>0.85153695225637671</v>
      </c>
      <c r="I41" s="5">
        <f t="shared" si="11"/>
        <v>0.58934694282033495</v>
      </c>
      <c r="P41" s="104"/>
      <c r="Q41" s="13">
        <v>2022</v>
      </c>
      <c r="R41" s="10">
        <f t="shared" si="17"/>
        <v>0.16576986232158647</v>
      </c>
      <c r="S41" s="10">
        <f t="shared" si="17"/>
        <v>0.47490899962344674</v>
      </c>
      <c r="T41" s="10">
        <f t="shared" si="17"/>
        <v>0.67316387788989651</v>
      </c>
      <c r="U41" s="10">
        <f t="shared" si="17"/>
        <v>0.82167105098333959</v>
      </c>
      <c r="V41" s="10">
        <f t="shared" si="17"/>
        <v>0.86851090342679127</v>
      </c>
      <c r="W41" s="5">
        <f t="shared" si="13"/>
        <v>0.60158102766798416</v>
      </c>
      <c r="Y41" s="12"/>
      <c r="AD41" s="108"/>
      <c r="AE41" s="13">
        <v>2022</v>
      </c>
      <c r="AF41" s="10">
        <f t="shared" si="18"/>
        <v>0.1554324259214647</v>
      </c>
      <c r="AG41" s="10">
        <f t="shared" si="18"/>
        <v>0.45688293033277472</v>
      </c>
      <c r="AH41" s="10">
        <f t="shared" si="18"/>
        <v>0.62806333739342268</v>
      </c>
      <c r="AI41" s="10">
        <f t="shared" si="18"/>
        <v>0.76683393070489847</v>
      </c>
      <c r="AJ41" s="10">
        <f t="shared" si="18"/>
        <v>0.81915854528167342</v>
      </c>
      <c r="AK41" s="5">
        <f t="shared" si="15"/>
        <v>0.56601200480192082</v>
      </c>
    </row>
    <row r="42" spans="2:42">
      <c r="B42" s="100"/>
      <c r="C42" s="13">
        <v>2023</v>
      </c>
      <c r="D42" s="10">
        <f t="shared" si="16"/>
        <v>0.16453201970443349</v>
      </c>
      <c r="E42" s="10">
        <f t="shared" si="16"/>
        <v>0.50495147228162529</v>
      </c>
      <c r="F42" s="10">
        <f t="shared" si="16"/>
        <v>0.69100666775085384</v>
      </c>
      <c r="G42" s="10">
        <f t="shared" si="16"/>
        <v>0.84610453648915185</v>
      </c>
      <c r="H42" s="10">
        <f t="shared" si="16"/>
        <v>0.87129109863672816</v>
      </c>
      <c r="I42" s="5">
        <f t="shared" si="11"/>
        <v>0.62300287784062713</v>
      </c>
      <c r="P42" s="104"/>
      <c r="Q42" s="13">
        <v>2023</v>
      </c>
      <c r="R42" s="10">
        <f t="shared" si="17"/>
        <v>0.16933225632740981</v>
      </c>
      <c r="S42" s="10">
        <f t="shared" si="17"/>
        <v>0.5088620342396778</v>
      </c>
      <c r="T42" s="10">
        <f t="shared" si="17"/>
        <v>0.70184171229467396</v>
      </c>
      <c r="U42" s="10">
        <f t="shared" si="17"/>
        <v>0.85086152685196825</v>
      </c>
      <c r="V42" s="10">
        <f t="shared" si="17"/>
        <v>0.88264604810996561</v>
      </c>
      <c r="W42" s="5">
        <f t="shared" si="13"/>
        <v>0.63019718024653859</v>
      </c>
      <c r="Y42" s="12"/>
      <c r="AD42" s="108"/>
      <c r="AE42" s="13">
        <v>2023</v>
      </c>
      <c r="AF42" s="10">
        <f t="shared" si="18"/>
        <v>0.15548223350253806</v>
      </c>
      <c r="AG42" s="10">
        <f t="shared" si="18"/>
        <v>0.49757949691504511</v>
      </c>
      <c r="AH42" s="10">
        <f t="shared" si="18"/>
        <v>0.670577193805725</v>
      </c>
      <c r="AI42" s="10">
        <f t="shared" si="18"/>
        <v>0.83713540431586431</v>
      </c>
      <c r="AJ42" s="10">
        <f t="shared" si="18"/>
        <v>0.8498843128181397</v>
      </c>
      <c r="AK42" s="5">
        <f t="shared" si="15"/>
        <v>0.60943927463612502</v>
      </c>
    </row>
    <row r="43" spans="2:42">
      <c r="B43" s="100"/>
      <c r="C43" s="13">
        <v>2024</v>
      </c>
      <c r="D43" s="10">
        <f t="shared" si="16"/>
        <v>0.16108288067285789</v>
      </c>
      <c r="E43" s="10">
        <f t="shared" si="16"/>
        <v>0.49555866410211574</v>
      </c>
      <c r="F43" s="10">
        <f t="shared" si="16"/>
        <v>0.71337115072933555</v>
      </c>
      <c r="G43" s="10">
        <f t="shared" si="16"/>
        <v>0.86199008158694612</v>
      </c>
      <c r="H43" s="10">
        <f t="shared" si="16"/>
        <v>0.89877872408806037</v>
      </c>
      <c r="I43" s="5">
        <f t="shared" si="11"/>
        <v>0.63639175257731961</v>
      </c>
      <c r="P43" s="104"/>
      <c r="Q43" s="13">
        <v>2024</v>
      </c>
      <c r="R43" s="10">
        <f t="shared" si="17"/>
        <v>0.16310470287023313</v>
      </c>
      <c r="S43" s="10">
        <f t="shared" si="17"/>
        <v>0.50122361167137286</v>
      </c>
      <c r="T43" s="10">
        <f t="shared" si="17"/>
        <v>0.71823507416178489</v>
      </c>
      <c r="U43" s="10">
        <f t="shared" si="17"/>
        <v>0.87184155492680526</v>
      </c>
      <c r="V43" s="10">
        <f t="shared" si="17"/>
        <v>0.89891250617894214</v>
      </c>
      <c r="W43" s="5">
        <f t="shared" si="13"/>
        <v>0.64092885274410516</v>
      </c>
      <c r="Y43" s="12"/>
      <c r="AD43" s="108"/>
      <c r="AE43" s="13">
        <v>2024</v>
      </c>
      <c r="AF43" s="10">
        <f t="shared" si="18"/>
        <v>0.15732531930879037</v>
      </c>
      <c r="AG43" s="10">
        <f t="shared" si="18"/>
        <v>0.48502874281429642</v>
      </c>
      <c r="AH43" s="10">
        <f t="shared" si="18"/>
        <v>0.70433171183692378</v>
      </c>
      <c r="AI43" s="10">
        <f t="shared" si="18"/>
        <v>0.84367710953578778</v>
      </c>
      <c r="AJ43" s="10">
        <f t="shared" si="18"/>
        <v>0.89853008727606798</v>
      </c>
      <c r="AK43" s="5">
        <f t="shared" si="15"/>
        <v>0.62795893145736281</v>
      </c>
    </row>
    <row r="44" spans="2:42">
      <c r="B44" s="100"/>
      <c r="P44" s="104"/>
      <c r="AD44" s="108"/>
    </row>
    <row r="45" spans="2:42">
      <c r="B45" s="100"/>
      <c r="C45" s="13" t="s">
        <v>198</v>
      </c>
      <c r="D45" s="12">
        <f>MIN(D34:D43)</f>
        <v>0.13381088825214899</v>
      </c>
      <c r="E45" s="12">
        <f t="shared" ref="E45:I45" si="19">MIN(E34:E43)</f>
        <v>0.43009320905459386</v>
      </c>
      <c r="F45" s="12">
        <f t="shared" si="19"/>
        <v>0.65765041059158702</v>
      </c>
      <c r="G45" s="12">
        <f t="shared" si="19"/>
        <v>0.80281065088757397</v>
      </c>
      <c r="H45" s="12">
        <f t="shared" si="19"/>
        <v>0.85153695225637671</v>
      </c>
      <c r="I45" s="12">
        <f t="shared" si="19"/>
        <v>0.58934694282033495</v>
      </c>
      <c r="J45" s="12">
        <f>MIN(J21:J29)</f>
        <v>4.2848892750932378E-2</v>
      </c>
      <c r="K45" s="12">
        <f t="shared" ref="K45:N45" si="20">MIN(K21:K29)</f>
        <v>0.13486970249933364</v>
      </c>
      <c r="L45" s="12">
        <f t="shared" si="20"/>
        <v>0.20667172410965085</v>
      </c>
      <c r="M45" s="12">
        <f t="shared" si="20"/>
        <v>0.27331952851226504</v>
      </c>
      <c r="N45" s="12">
        <f t="shared" si="20"/>
        <v>0.28844111712859721</v>
      </c>
      <c r="P45" s="104"/>
      <c r="Q45" s="13" t="s">
        <v>198</v>
      </c>
      <c r="R45" s="12">
        <f>MIN(R34:R43)</f>
        <v>0.13777258566978193</v>
      </c>
      <c r="S45" s="12">
        <f t="shared" ref="S45:W45" si="21">MIN(S34:S43)</f>
        <v>0.43940015380671621</v>
      </c>
      <c r="T45" s="12">
        <f t="shared" si="21"/>
        <v>0.67316387788989651</v>
      </c>
      <c r="U45" s="12">
        <f t="shared" si="21"/>
        <v>0.82167105098333959</v>
      </c>
      <c r="V45" s="12">
        <f t="shared" si="21"/>
        <v>0.86851090342679127</v>
      </c>
      <c r="W45" s="12">
        <f t="shared" si="21"/>
        <v>0.60158102766798416</v>
      </c>
      <c r="X45" s="12">
        <f>MIN(X21:X29)</f>
        <v>4.3275111306815404E-2</v>
      </c>
      <c r="Y45" s="12">
        <f t="shared" ref="Y45:AB45" si="22">MIN(Y21:Y29)</f>
        <v>0.13690250342643426</v>
      </c>
      <c r="Z45" s="12">
        <f t="shared" si="22"/>
        <v>0.20890021139357146</v>
      </c>
      <c r="AA45" s="12">
        <f t="shared" si="22"/>
        <v>0.27172533457577558</v>
      </c>
      <c r="AB45" s="12">
        <f t="shared" si="22"/>
        <v>0.2888597914624938</v>
      </c>
      <c r="AD45" s="108"/>
      <c r="AE45" s="13" t="s">
        <v>198</v>
      </c>
      <c r="AF45" s="12">
        <f>MIN(AF34:AF43)</f>
        <v>0.12647765497357039</v>
      </c>
      <c r="AG45" s="12">
        <f t="shared" ref="AG45:AK45" si="23">MIN(AG34:AG43)</f>
        <v>0.40803592531316474</v>
      </c>
      <c r="AH45" s="12">
        <f t="shared" si="23"/>
        <v>0.60728265817023208</v>
      </c>
      <c r="AI45" s="12">
        <f t="shared" si="23"/>
        <v>0.76683393070489847</v>
      </c>
      <c r="AJ45" s="12">
        <f t="shared" si="23"/>
        <v>0.81915854528167342</v>
      </c>
      <c r="AK45" s="12">
        <f t="shared" si="23"/>
        <v>0.56601200480192082</v>
      </c>
      <c r="AL45" s="12">
        <f>MIN(AL21:AL29)</f>
        <v>4.2014526298986353E-2</v>
      </c>
      <c r="AM45" s="12">
        <f t="shared" ref="AM45:AP45" si="24">MIN(AM21:AM29)</f>
        <v>0.13088902030356792</v>
      </c>
      <c r="AN45" s="12">
        <f t="shared" si="24"/>
        <v>0.20199575308495316</v>
      </c>
      <c r="AO45" s="12">
        <f t="shared" si="24"/>
        <v>0.27226143613411158</v>
      </c>
      <c r="AP45" s="12">
        <f t="shared" si="24"/>
        <v>0.2876248942900993</v>
      </c>
    </row>
    <row r="46" spans="2:42">
      <c r="B46" s="100"/>
      <c r="C46" s="13" t="s">
        <v>203</v>
      </c>
      <c r="D46" s="12">
        <f>MEDIAN(D34:D43)</f>
        <v>0.16168543659540835</v>
      </c>
      <c r="E46" s="12">
        <f t="shared" ref="E46:I46" si="25">MEDIAN(E34:E43)</f>
        <v>0.47344376491605528</v>
      </c>
      <c r="F46" s="12">
        <f t="shared" si="25"/>
        <v>0.6893960846202134</v>
      </c>
      <c r="G46" s="12">
        <f t="shared" si="25"/>
        <v>0.88587986309308797</v>
      </c>
      <c r="H46" s="12">
        <f t="shared" si="25"/>
        <v>0.93152704280305842</v>
      </c>
      <c r="I46" s="12">
        <f t="shared" si="25"/>
        <v>0.63748811747033207</v>
      </c>
      <c r="J46" s="12">
        <f>MEDIAN(J21:J30)</f>
        <v>4.9877159868686759E-2</v>
      </c>
      <c r="K46" s="12">
        <f t="shared" ref="K46:N46" si="26">MEDIAN(K21:K30)</f>
        <v>0.14526923706338768</v>
      </c>
      <c r="L46" s="12">
        <f t="shared" si="26"/>
        <v>0.21637653692519782</v>
      </c>
      <c r="M46" s="12">
        <f t="shared" si="26"/>
        <v>0.28494017897728646</v>
      </c>
      <c r="N46" s="12">
        <f t="shared" si="26"/>
        <v>0.30335343613721644</v>
      </c>
      <c r="P46" s="104"/>
      <c r="Q46" s="13" t="s">
        <v>203</v>
      </c>
      <c r="R46" s="12">
        <f>MEDIAN(R34:R43)</f>
        <v>0.166222586762453</v>
      </c>
      <c r="S46" s="12">
        <f t="shared" ref="S46:W46" si="27">MEDIAN(S34:S43)</f>
        <v>0.48743195947427886</v>
      </c>
      <c r="T46" s="12">
        <f t="shared" si="27"/>
        <v>0.70636256576786582</v>
      </c>
      <c r="U46" s="12">
        <f t="shared" si="27"/>
        <v>0.90441746295686309</v>
      </c>
      <c r="V46" s="12">
        <f t="shared" si="27"/>
        <v>0.9352418302863309</v>
      </c>
      <c r="W46" s="12">
        <f t="shared" si="27"/>
        <v>0.64324622962707145</v>
      </c>
      <c r="X46" s="12">
        <f>MEDIAN(X21:X30)</f>
        <v>5.0045351402709964E-2</v>
      </c>
      <c r="Y46" s="12">
        <f t="shared" ref="Y46:AB46" si="28">MEDIAN(Y21:Y30)</f>
        <v>0.14654639787574655</v>
      </c>
      <c r="Z46" s="12">
        <f t="shared" si="28"/>
        <v>0.21882985732453425</v>
      </c>
      <c r="AA46" s="12">
        <f t="shared" si="28"/>
        <v>0.28443379748479575</v>
      </c>
      <c r="AB46" s="12">
        <f t="shared" si="28"/>
        <v>0.30007550014010487</v>
      </c>
      <c r="AD46" s="108"/>
      <c r="AE46" s="13" t="s">
        <v>203</v>
      </c>
      <c r="AF46" s="12">
        <f>MEDIAN(AF34:AF43)</f>
        <v>0.15545732971200138</v>
      </c>
      <c r="AG46" s="12">
        <f t="shared" ref="AG46:AK46" si="29">MEDIAN(AG34:AG43)</f>
        <v>0.45456219706327938</v>
      </c>
      <c r="AH46" s="12">
        <f t="shared" si="29"/>
        <v>0.6540064061996913</v>
      </c>
      <c r="AI46" s="12">
        <f t="shared" si="29"/>
        <v>0.85958988599463693</v>
      </c>
      <c r="AJ46" s="12">
        <f t="shared" si="29"/>
        <v>0.91258328574915504</v>
      </c>
      <c r="AK46" s="12">
        <f t="shared" si="29"/>
        <v>0.61265781464670122</v>
      </c>
      <c r="AL46" s="12">
        <f>MEDIAN(AL21:AL30)</f>
        <v>4.776004342773503E-2</v>
      </c>
      <c r="AM46" s="12">
        <f t="shared" ref="AM46:AP46" si="30">MEDIAN(AM21:AM30)</f>
        <v>0.1428373105896385</v>
      </c>
      <c r="AN46" s="12">
        <f t="shared" si="30"/>
        <v>0.21184246033023846</v>
      </c>
      <c r="AO46" s="12">
        <f t="shared" si="30"/>
        <v>0.28448546899334248</v>
      </c>
      <c r="AP46" s="12">
        <f t="shared" si="30"/>
        <v>0.30959448560954911</v>
      </c>
    </row>
    <row r="47" spans="2:42">
      <c r="B47" s="100"/>
      <c r="C47" s="13" t="s">
        <v>201</v>
      </c>
      <c r="D47" s="12">
        <f>AVERAGE(D34:D43)</f>
        <v>0.16103072801180493</v>
      </c>
      <c r="E47" s="12">
        <f t="shared" ref="E47:I47" si="31">AVERAGE(E34:E43)</f>
        <v>0.47298381291116398</v>
      </c>
      <c r="F47" s="12">
        <f t="shared" si="31"/>
        <v>0.68449207327629713</v>
      </c>
      <c r="G47" s="12">
        <f t="shared" si="31"/>
        <v>0.88518528337544633</v>
      </c>
      <c r="H47" s="12">
        <f t="shared" si="31"/>
        <v>0.92718477531341159</v>
      </c>
      <c r="I47" s="12">
        <f t="shared" si="31"/>
        <v>0.63189167868656648</v>
      </c>
      <c r="J47" s="12">
        <f>AVERAGE(J21:J30)</f>
        <v>4.9610610097757711E-2</v>
      </c>
      <c r="K47" s="12">
        <f t="shared" ref="K47:N47" si="32">AVERAGE(K21:K30)</f>
        <v>0.14711443176122319</v>
      </c>
      <c r="L47" s="12">
        <f t="shared" si="32"/>
        <v>0.21673869358123934</v>
      </c>
      <c r="M47" s="12">
        <f t="shared" si="32"/>
        <v>0.28425003989148495</v>
      </c>
      <c r="N47" s="12">
        <f t="shared" si="32"/>
        <v>0.30228622466829486</v>
      </c>
      <c r="P47" s="104"/>
      <c r="Q47" s="13" t="s">
        <v>201</v>
      </c>
      <c r="R47" s="12">
        <f>AVERAGE(R34:R43)</f>
        <v>0.16587383674712969</v>
      </c>
      <c r="S47" s="12">
        <f t="shared" ref="S47:W47" si="33">AVERAGE(S34:S43)</f>
        <v>0.4845096176702014</v>
      </c>
      <c r="T47" s="12">
        <f t="shared" si="33"/>
        <v>0.70285603138972075</v>
      </c>
      <c r="U47" s="12">
        <f t="shared" si="33"/>
        <v>0.90083809115481994</v>
      </c>
      <c r="V47" s="12">
        <f t="shared" si="33"/>
        <v>0.93896328050409161</v>
      </c>
      <c r="W47" s="12">
        <f t="shared" si="33"/>
        <v>0.6443569946764367</v>
      </c>
      <c r="X47" s="12">
        <f>AVERAGE(X21:X30)</f>
        <v>5.009249361264264E-2</v>
      </c>
      <c r="Y47" s="12">
        <f t="shared" ref="Y47:AB47" si="34">AVERAGE(Y21:Y30)</f>
        <v>0.14778024632549497</v>
      </c>
      <c r="Z47" s="12">
        <f t="shared" si="34"/>
        <v>0.21827100509091957</v>
      </c>
      <c r="AA47" s="12">
        <f t="shared" si="34"/>
        <v>0.28366403351823838</v>
      </c>
      <c r="AB47" s="12">
        <f t="shared" si="34"/>
        <v>0.30019222145270447</v>
      </c>
      <c r="AD47" s="108"/>
      <c r="AE47" s="13" t="s">
        <v>201</v>
      </c>
      <c r="AF47" s="12">
        <f>AVERAGE(AF34:AF43)</f>
        <v>0.15217913867934008</v>
      </c>
      <c r="AG47" s="12">
        <f t="shared" ref="AG47:AK47" si="35">AVERAGE(AG34:AG43)</f>
        <v>0.45197924269246748</v>
      </c>
      <c r="AH47" s="12">
        <f t="shared" si="35"/>
        <v>0.65084253979281892</v>
      </c>
      <c r="AI47" s="12">
        <f t="shared" si="35"/>
        <v>0.8564703006723805</v>
      </c>
      <c r="AJ47" s="12">
        <f t="shared" si="35"/>
        <v>0.9055917114278188</v>
      </c>
      <c r="AK47" s="12">
        <f t="shared" si="35"/>
        <v>0.60907013609424698</v>
      </c>
      <c r="AL47" s="12">
        <f>AVERAGE(AL21:AL30)</f>
        <v>4.8679370175478361E-2</v>
      </c>
      <c r="AM47" s="12">
        <f t="shared" ref="AM47:AP47" si="36">AVERAGE(AM21:AM30)</f>
        <v>0.14584117622165646</v>
      </c>
      <c r="AN47" s="12">
        <f t="shared" si="36"/>
        <v>0.21374457587783108</v>
      </c>
      <c r="AO47" s="12">
        <f t="shared" si="36"/>
        <v>0.28539047698326014</v>
      </c>
      <c r="AP47" s="12">
        <f t="shared" si="36"/>
        <v>0.30634440074177399</v>
      </c>
    </row>
    <row r="48" spans="2:42">
      <c r="B48" s="100"/>
      <c r="C48" s="13" t="s">
        <v>205</v>
      </c>
      <c r="D48" s="12">
        <f>MAX(D34:D43)</f>
        <v>0.17537822111388196</v>
      </c>
      <c r="E48" s="12">
        <f t="shared" ref="E48:I48" si="37">MAX(E34:E43)</f>
        <v>0.50495147228162529</v>
      </c>
      <c r="F48" s="12">
        <f t="shared" si="37"/>
        <v>0.71337115072933555</v>
      </c>
      <c r="G48" s="12">
        <f t="shared" si="37"/>
        <v>0.93736386931454196</v>
      </c>
      <c r="H48" s="12">
        <f t="shared" si="37"/>
        <v>0.97325874566656156</v>
      </c>
      <c r="I48" s="12">
        <f t="shared" si="37"/>
        <v>0.65571811992668239</v>
      </c>
      <c r="J48" s="12">
        <f>MAX(J21:J29)</f>
        <v>5.4861473098933376E-2</v>
      </c>
      <c r="K48" s="12">
        <f t="shared" ref="K48:N48" si="38">MAX(K21:K29)</f>
        <v>0.16298184135074864</v>
      </c>
      <c r="L48" s="12">
        <f t="shared" si="38"/>
        <v>0.2256026335350961</v>
      </c>
      <c r="M48" s="12">
        <f t="shared" si="38"/>
        <v>0.29387160929202633</v>
      </c>
      <c r="N48" s="12">
        <f t="shared" si="38"/>
        <v>0.31448752383490863</v>
      </c>
      <c r="P48" s="104"/>
      <c r="Q48" s="13" t="s">
        <v>205</v>
      </c>
      <c r="R48" s="12">
        <f>MAX(R34:R43)</f>
        <v>0.18259182617692707</v>
      </c>
      <c r="S48" s="12">
        <f t="shared" ref="S48:W48" si="39">MAX(S34:S43)</f>
        <v>0.5088620342396778</v>
      </c>
      <c r="T48" s="12">
        <f t="shared" si="39"/>
        <v>0.72140845070422532</v>
      </c>
      <c r="U48" s="12">
        <f t="shared" si="39"/>
        <v>0.96120894217559638</v>
      </c>
      <c r="V48" s="12">
        <f t="shared" si="39"/>
        <v>0.99413937453829104</v>
      </c>
      <c r="W48" s="12">
        <f t="shared" si="39"/>
        <v>0.67652854912599492</v>
      </c>
      <c r="X48" s="12">
        <f>MAX(X21:X29)</f>
        <v>5.492270478836931E-2</v>
      </c>
      <c r="Y48" s="12">
        <f t="shared" ref="Y48:AB48" si="40">MAX(Y21:Y29)</f>
        <v>0.16236363928473885</v>
      </c>
      <c r="Z48" s="12">
        <f t="shared" si="40"/>
        <v>0.22653149751779317</v>
      </c>
      <c r="AA48" s="12">
        <f t="shared" si="40"/>
        <v>0.29261361436547084</v>
      </c>
      <c r="AB48" s="12">
        <f t="shared" si="40"/>
        <v>0.31208815034496645</v>
      </c>
      <c r="AD48" s="108"/>
      <c r="AE48" s="13" t="s">
        <v>205</v>
      </c>
      <c r="AF48" s="12">
        <f>MAX(AF34:AF43)</f>
        <v>0.16240111679851094</v>
      </c>
      <c r="AG48" s="12">
        <f t="shared" ref="AG48:AK48" si="41">MAX(AG34:AG43)</f>
        <v>0.49757949691504511</v>
      </c>
      <c r="AH48" s="12">
        <f t="shared" si="41"/>
        <v>0.70433171183692378</v>
      </c>
      <c r="AI48" s="12">
        <f t="shared" si="41"/>
        <v>0.9094287680660702</v>
      </c>
      <c r="AJ48" s="12">
        <f t="shared" si="41"/>
        <v>0.94811469857755704</v>
      </c>
      <c r="AK48" s="12">
        <f t="shared" si="41"/>
        <v>0.62837995066784569</v>
      </c>
      <c r="AL48" s="12">
        <f>MAX(AL21:AL29)</f>
        <v>5.473734220171033E-2</v>
      </c>
      <c r="AM48" s="12">
        <f t="shared" ref="AM48:AP48" si="42">MAX(AM21:AM29)</f>
        <v>0.16418705171171735</v>
      </c>
      <c r="AN48" s="12">
        <f t="shared" si="42"/>
        <v>0.2237917749866884</v>
      </c>
      <c r="AO48" s="12">
        <f t="shared" si="42"/>
        <v>0.2976849858188676</v>
      </c>
      <c r="AP48" s="12">
        <f t="shared" si="42"/>
        <v>0.31918603769579523</v>
      </c>
    </row>
    <row r="49" spans="2:42">
      <c r="B49" s="100"/>
      <c r="C49" s="13" t="s">
        <v>208</v>
      </c>
      <c r="D49" s="12">
        <f>D48-D45</f>
        <v>4.1567332861732975E-2</v>
      </c>
      <c r="E49" s="12">
        <f t="shared" ref="E49:I49" si="43">E48-E45</f>
        <v>7.485826322703143E-2</v>
      </c>
      <c r="F49" s="12">
        <f t="shared" si="43"/>
        <v>5.5720740137748526E-2</v>
      </c>
      <c r="G49" s="12">
        <f t="shared" si="43"/>
        <v>0.13455321842696799</v>
      </c>
      <c r="H49" s="12">
        <f t="shared" si="43"/>
        <v>0.12172179341018485</v>
      </c>
      <c r="I49" s="12">
        <f t="shared" si="43"/>
        <v>6.6371177106347434E-2</v>
      </c>
      <c r="J49" s="12">
        <f>J48-J45</f>
        <v>1.2012580348000998E-2</v>
      </c>
      <c r="K49" s="12">
        <f t="shared" ref="K49:N49" si="44">K48-K45</f>
        <v>2.8112138851415003E-2</v>
      </c>
      <c r="L49" s="12">
        <f t="shared" si="44"/>
        <v>1.8930909425445258E-2</v>
      </c>
      <c r="M49" s="12">
        <f t="shared" si="44"/>
        <v>2.0552080779761284E-2</v>
      </c>
      <c r="N49" s="12">
        <f t="shared" si="44"/>
        <v>2.604640670631142E-2</v>
      </c>
      <c r="P49" s="104"/>
      <c r="Q49" s="13" t="s">
        <v>208</v>
      </c>
      <c r="R49" s="12">
        <f>R48-R45</f>
        <v>4.4819240507145142E-2</v>
      </c>
      <c r="S49" s="12">
        <f t="shared" ref="S49:W49" si="45">S48-S45</f>
        <v>6.9461880432961587E-2</v>
      </c>
      <c r="T49" s="12">
        <f t="shared" si="45"/>
        <v>4.8244572814328812E-2</v>
      </c>
      <c r="U49" s="12">
        <f t="shared" si="45"/>
        <v>0.13953789119225679</v>
      </c>
      <c r="V49" s="12">
        <f t="shared" si="45"/>
        <v>0.12562847111149977</v>
      </c>
      <c r="W49" s="12">
        <f t="shared" si="45"/>
        <v>7.4947521458010757E-2</v>
      </c>
      <c r="X49" s="12">
        <f>X48-X45</f>
        <v>1.1647593481553906E-2</v>
      </c>
      <c r="Y49" s="12">
        <f t="shared" ref="Y49:AB49" si="46">Y48-Y45</f>
        <v>2.546113585830459E-2</v>
      </c>
      <c r="Z49" s="12">
        <f t="shared" si="46"/>
        <v>1.7631286124221712E-2</v>
      </c>
      <c r="AA49" s="12">
        <f t="shared" si="46"/>
        <v>2.0888279789695263E-2</v>
      </c>
      <c r="AB49" s="12">
        <f t="shared" si="46"/>
        <v>2.3228358882472655E-2</v>
      </c>
      <c r="AD49" s="108"/>
      <c r="AE49" s="13" t="s">
        <v>208</v>
      </c>
      <c r="AF49" s="12">
        <f>AF48-AF45</f>
        <v>3.592346182494055E-2</v>
      </c>
      <c r="AG49" s="12">
        <f t="shared" ref="AG49:AK49" si="47">AG48-AG45</f>
        <v>8.9543571601880367E-2</v>
      </c>
      <c r="AH49" s="12">
        <f t="shared" si="47"/>
        <v>9.7049053666691698E-2</v>
      </c>
      <c r="AI49" s="12">
        <f t="shared" si="47"/>
        <v>0.14259483736117173</v>
      </c>
      <c r="AJ49" s="12">
        <f t="shared" si="47"/>
        <v>0.12895615329588361</v>
      </c>
      <c r="AK49" s="12">
        <f t="shared" si="47"/>
        <v>6.2367945865924868E-2</v>
      </c>
      <c r="AL49" s="12">
        <f>AL48-AL45</f>
        <v>1.2722815902723977E-2</v>
      </c>
      <c r="AM49" s="12">
        <f t="shared" ref="AM49:AP49" si="48">AM48-AM45</f>
        <v>3.3298031408149437E-2</v>
      </c>
      <c r="AN49" s="12">
        <f t="shared" si="48"/>
        <v>2.1796021901735241E-2</v>
      </c>
      <c r="AO49" s="12">
        <f t="shared" si="48"/>
        <v>2.5423549684756019E-2</v>
      </c>
      <c r="AP49" s="12">
        <f t="shared" si="48"/>
        <v>3.1561143405695935E-2</v>
      </c>
    </row>
    <row r="50" spans="2:42">
      <c r="B50" s="100"/>
      <c r="P50" s="104"/>
      <c r="AD50" s="108"/>
    </row>
    <row r="51" spans="2:42">
      <c r="B51" s="100"/>
      <c r="C51" s="40" t="s">
        <v>262</v>
      </c>
      <c r="P51" s="104"/>
      <c r="Q51" s="40" t="s">
        <v>262</v>
      </c>
      <c r="AD51" s="108"/>
      <c r="AE51" s="40" t="s">
        <v>262</v>
      </c>
    </row>
    <row r="52" spans="2:42">
      <c r="B52" s="100"/>
      <c r="C52" s="13" t="s">
        <v>198</v>
      </c>
      <c r="D52" s="12">
        <f>MIN(D34:D38,D42:D43)</f>
        <v>0.15625419181757211</v>
      </c>
      <c r="E52" s="12">
        <f t="shared" ref="E52:I52" si="49">MIN(E34:E38,E42:E43)</f>
        <v>0.44581497797356828</v>
      </c>
      <c r="F52" s="12">
        <f t="shared" si="49"/>
        <v>0.657856093979442</v>
      </c>
      <c r="G52" s="12">
        <f t="shared" si="49"/>
        <v>0.84610453648915185</v>
      </c>
      <c r="H52" s="12">
        <f t="shared" si="49"/>
        <v>0.87129109863672816</v>
      </c>
      <c r="I52" s="12">
        <f t="shared" si="49"/>
        <v>0.62300287784062713</v>
      </c>
      <c r="P52" s="104"/>
      <c r="Q52" s="13" t="s">
        <v>198</v>
      </c>
      <c r="R52" s="12">
        <f>MIN(R34:R38,R42:R43)</f>
        <v>0.16000517732332384</v>
      </c>
      <c r="S52" s="12">
        <f t="shared" ref="S52:W52" si="50">MIN(S34:S38,S42:S43)</f>
        <v>0.46692195959329197</v>
      </c>
      <c r="T52" s="12">
        <f t="shared" si="50"/>
        <v>0.68611393692777212</v>
      </c>
      <c r="U52" s="12">
        <f t="shared" si="50"/>
        <v>0.85086152685196825</v>
      </c>
      <c r="V52" s="12">
        <f t="shared" si="50"/>
        <v>0.88264604810996561</v>
      </c>
      <c r="W52" s="12">
        <f t="shared" si="50"/>
        <v>0.63019718024653859</v>
      </c>
      <c r="AD52" s="108"/>
      <c r="AE52" s="13" t="s">
        <v>198</v>
      </c>
      <c r="AF52" s="12">
        <f>MIN(AF34:AF38,AF42:AF43)</f>
        <v>0.14665728360309641</v>
      </c>
      <c r="AG52" s="12">
        <f t="shared" ref="AG52:AK52" si="51">MIN(AG34:AG38,AG42:AG43)</f>
        <v>0.40803592531316474</v>
      </c>
      <c r="AH52" s="12">
        <f t="shared" si="51"/>
        <v>0.60728265817023208</v>
      </c>
      <c r="AI52" s="12">
        <f t="shared" si="51"/>
        <v>0.83713540431586431</v>
      </c>
      <c r="AJ52" s="12">
        <f t="shared" si="51"/>
        <v>0.8498843128181397</v>
      </c>
      <c r="AK52" s="12">
        <f t="shared" si="51"/>
        <v>0.60279694712307486</v>
      </c>
    </row>
    <row r="53" spans="2:42">
      <c r="B53" s="100"/>
      <c r="C53" s="13" t="s">
        <v>263</v>
      </c>
      <c r="D53" s="12">
        <f t="shared" ref="D53:I53" si="52">AVERAGE(D34:D38,D42:D43)</f>
        <v>0.16473221695358339</v>
      </c>
      <c r="E53" s="12">
        <f t="shared" si="52"/>
        <v>0.47702877360474455</v>
      </c>
      <c r="F53" s="12">
        <f t="shared" si="52"/>
        <v>0.69144359719406179</v>
      </c>
      <c r="G53" s="12">
        <f t="shared" si="52"/>
        <v>0.90176475230563669</v>
      </c>
      <c r="H53" s="12">
        <f t="shared" si="52"/>
        <v>0.94031544348554497</v>
      </c>
      <c r="I53" s="12">
        <f t="shared" si="52"/>
        <v>0.64192408905205323</v>
      </c>
      <c r="P53" s="104"/>
      <c r="Q53" s="13" t="s">
        <v>263</v>
      </c>
      <c r="R53" s="12">
        <f t="shared" ref="R53:W53" si="53">AVERAGE(R34:R38,R42:R43)</f>
        <v>0.17049329513357644</v>
      </c>
      <c r="S53" s="12">
        <f t="shared" si="53"/>
        <v>0.49042694935997477</v>
      </c>
      <c r="T53" s="12">
        <f t="shared" si="53"/>
        <v>0.7095509178470556</v>
      </c>
      <c r="U53" s="12">
        <f t="shared" si="53"/>
        <v>0.91676032813641817</v>
      </c>
      <c r="V53" s="12">
        <f t="shared" si="53"/>
        <v>0.95122561452546439</v>
      </c>
      <c r="W53" s="12">
        <f t="shared" si="53"/>
        <v>0.65459436404871307</v>
      </c>
      <c r="AD53" s="108"/>
      <c r="AE53" s="13" t="s">
        <v>263</v>
      </c>
      <c r="AF53" s="12">
        <f t="shared" ref="AF53:AK53" si="54">AVERAGE(AF34:AF38,AF42:AF43)</f>
        <v>0.15426065453138346</v>
      </c>
      <c r="AG53" s="12">
        <f t="shared" si="54"/>
        <v>0.45277278058113873</v>
      </c>
      <c r="AH53" s="12">
        <f t="shared" si="54"/>
        <v>0.65861677605429236</v>
      </c>
      <c r="AI53" s="12">
        <f t="shared" si="54"/>
        <v>0.87461539979388836</v>
      </c>
      <c r="AJ53" s="12">
        <f t="shared" si="54"/>
        <v>0.92059549342215774</v>
      </c>
      <c r="AK53" s="12">
        <f t="shared" si="54"/>
        <v>0.6189748079506191</v>
      </c>
    </row>
    <row r="54" spans="2:42">
      <c r="B54" s="100"/>
      <c r="C54" s="13" t="s">
        <v>205</v>
      </c>
      <c r="D54" s="12">
        <f>MAX(D34:D38,D42:D43)</f>
        <v>0.17537822111388196</v>
      </c>
      <c r="E54" s="12">
        <f t="shared" ref="E54:I54" si="55">MAX(E34:E38,E42:E43)</f>
        <v>0.50495147228162529</v>
      </c>
      <c r="F54" s="12">
        <f t="shared" si="55"/>
        <v>0.71337115072933555</v>
      </c>
      <c r="G54" s="12">
        <f t="shared" si="55"/>
        <v>0.93736386931454196</v>
      </c>
      <c r="H54" s="12">
        <f t="shared" si="55"/>
        <v>0.97325874566656156</v>
      </c>
      <c r="I54" s="12">
        <f t="shared" si="55"/>
        <v>0.65571811992668239</v>
      </c>
      <c r="P54" s="104"/>
      <c r="Q54" s="13" t="s">
        <v>205</v>
      </c>
      <c r="R54" s="12">
        <f>MAX(R34:R38,R42:R43)</f>
        <v>0.18259182617692707</v>
      </c>
      <c r="S54" s="12">
        <f t="shared" ref="S54:W54" si="56">MAX(S34:S38,S42:S43)</f>
        <v>0.5088620342396778</v>
      </c>
      <c r="T54" s="12">
        <f t="shared" si="56"/>
        <v>0.72140845070422532</v>
      </c>
      <c r="U54" s="12">
        <f t="shared" si="56"/>
        <v>0.96120894217559638</v>
      </c>
      <c r="V54" s="12">
        <f t="shared" si="56"/>
        <v>0.99413937453829104</v>
      </c>
      <c r="W54" s="12">
        <f t="shared" si="56"/>
        <v>0.67652854912599492</v>
      </c>
      <c r="AD54" s="108"/>
      <c r="AE54" s="13" t="s">
        <v>205</v>
      </c>
      <c r="AF54" s="12">
        <f>MAX(AF34:AF38,AF42:AF43)</f>
        <v>0.16240111679851094</v>
      </c>
      <c r="AG54" s="12">
        <f t="shared" ref="AG54:AK54" si="57">MAX(AG34:AG38,AG42:AG43)</f>
        <v>0.49757949691504511</v>
      </c>
      <c r="AH54" s="12">
        <f t="shared" si="57"/>
        <v>0.70433171183692378</v>
      </c>
      <c r="AI54" s="12">
        <f t="shared" si="57"/>
        <v>0.9094287680660702</v>
      </c>
      <c r="AJ54" s="12">
        <f t="shared" si="57"/>
        <v>0.94811469857755704</v>
      </c>
      <c r="AK54" s="12">
        <f t="shared" si="57"/>
        <v>0.62837995066784569</v>
      </c>
    </row>
    <row r="55" spans="2:42">
      <c r="B55" s="100"/>
      <c r="C55" s="13" t="s">
        <v>208</v>
      </c>
      <c r="D55" s="12">
        <f>D54-D52</f>
        <v>1.9124029296309852E-2</v>
      </c>
      <c r="E55" s="12">
        <f t="shared" ref="E55:I55" si="58">E54-E52</f>
        <v>5.9136494308057008E-2</v>
      </c>
      <c r="F55" s="12">
        <f t="shared" si="58"/>
        <v>5.5515056749893543E-2</v>
      </c>
      <c r="G55" s="12">
        <f t="shared" si="58"/>
        <v>9.1259332825390116E-2</v>
      </c>
      <c r="H55" s="12">
        <f t="shared" si="58"/>
        <v>0.10196764702983341</v>
      </c>
      <c r="I55" s="12">
        <f t="shared" si="58"/>
        <v>3.2715242086055252E-2</v>
      </c>
      <c r="P55" s="104"/>
      <c r="Q55" s="13" t="s">
        <v>208</v>
      </c>
      <c r="R55" s="12">
        <f>R54-R52</f>
        <v>2.2586648853603231E-2</v>
      </c>
      <c r="S55" s="12">
        <f t="shared" ref="S55:W55" si="59">S54-S52</f>
        <v>4.1940074646385828E-2</v>
      </c>
      <c r="T55" s="12">
        <f t="shared" si="59"/>
        <v>3.5294513776453207E-2</v>
      </c>
      <c r="U55" s="12">
        <f t="shared" si="59"/>
        <v>0.11034741532362813</v>
      </c>
      <c r="V55" s="12">
        <f t="shared" si="59"/>
        <v>0.11149332642832543</v>
      </c>
      <c r="W55" s="12">
        <f t="shared" si="59"/>
        <v>4.6331368879456325E-2</v>
      </c>
      <c r="AD55" s="108"/>
      <c r="AE55" s="13" t="s">
        <v>208</v>
      </c>
      <c r="AF55" s="12">
        <f>AF54-AF52</f>
        <v>1.5743833195414531E-2</v>
      </c>
      <c r="AG55" s="12">
        <f t="shared" ref="AG55:AK55" si="60">AG54-AG52</f>
        <v>8.9543571601880367E-2</v>
      </c>
      <c r="AH55" s="12">
        <f t="shared" si="60"/>
        <v>9.7049053666691698E-2</v>
      </c>
      <c r="AI55" s="12">
        <f t="shared" si="60"/>
        <v>7.2293363750205897E-2</v>
      </c>
      <c r="AJ55" s="12">
        <f t="shared" si="60"/>
        <v>9.8230385759417338E-2</v>
      </c>
      <c r="AK55" s="12">
        <f t="shared" si="60"/>
        <v>2.5583003544770833E-2</v>
      </c>
    </row>
    <row r="56" spans="2:42">
      <c r="B56" s="100"/>
      <c r="P56" s="104"/>
      <c r="AD56" s="108"/>
    </row>
    <row r="57" spans="2:42">
      <c r="B57" s="100"/>
      <c r="C57" s="40" t="s">
        <v>264</v>
      </c>
      <c r="P57" s="104"/>
      <c r="Q57" s="40" t="s">
        <v>264</v>
      </c>
      <c r="AD57" s="108"/>
      <c r="AE57" s="40" t="s">
        <v>264</v>
      </c>
    </row>
    <row r="58" spans="2:42">
      <c r="B58" s="100"/>
      <c r="C58" s="13" t="s">
        <v>265</v>
      </c>
      <c r="D58" s="12">
        <f>D38-D39</f>
        <v>2.2443303565423123E-2</v>
      </c>
      <c r="E58" s="12">
        <f t="shared" ref="E58:I58" si="61">E38-E39</f>
        <v>4.2157836970510731E-2</v>
      </c>
      <c r="F58" s="12">
        <f t="shared" si="61"/>
        <v>3.6100862205581619E-2</v>
      </c>
      <c r="G58" s="12">
        <f t="shared" si="61"/>
        <v>3.5070809458742414E-2</v>
      </c>
      <c r="H58" s="12">
        <f t="shared" si="61"/>
        <v>2.495138912719197E-2</v>
      </c>
      <c r="I58" s="12">
        <f t="shared" si="61"/>
        <v>3.1510432559936907E-2</v>
      </c>
      <c r="P58" s="104"/>
      <c r="Q58" s="13" t="s">
        <v>265</v>
      </c>
      <c r="R58" s="12">
        <f>R38-R39</f>
        <v>2.2232591653541911E-2</v>
      </c>
      <c r="S58" s="12">
        <f t="shared" ref="S58:W58" si="62">S38-S39</f>
        <v>4.3442223454265683E-2</v>
      </c>
      <c r="T58" s="12">
        <f t="shared" si="62"/>
        <v>2.4185120457810405E-2</v>
      </c>
      <c r="U58" s="12">
        <f t="shared" si="62"/>
        <v>3.9447362303792088E-2</v>
      </c>
      <c r="V58" s="12">
        <f t="shared" si="62"/>
        <v>7.5956713688831723E-3</v>
      </c>
      <c r="W58" s="12">
        <f t="shared" si="62"/>
        <v>2.6664088498751348E-2</v>
      </c>
      <c r="AD58" s="108"/>
      <c r="AE58" s="13" t="s">
        <v>265</v>
      </c>
      <c r="AF58" s="12">
        <f>AF38-AF39</f>
        <v>2.2879793860318243E-2</v>
      </c>
      <c r="AG58" s="12">
        <f t="shared" ref="AG58:AK58" si="63">AG38-AG39</f>
        <v>3.9917208445550245E-2</v>
      </c>
      <c r="AH58" s="12">
        <f t="shared" si="63"/>
        <v>5.8283874900045274E-2</v>
      </c>
      <c r="AI58" s="12">
        <f t="shared" si="63"/>
        <v>2.714300361738109E-2</v>
      </c>
      <c r="AJ58" s="12">
        <f t="shared" si="63"/>
        <v>5.7040431032701289E-2</v>
      </c>
      <c r="AK58" s="12">
        <f t="shared" si="63"/>
        <v>4.0569642778723658E-2</v>
      </c>
    </row>
    <row r="59" spans="2:42">
      <c r="B59" s="100"/>
      <c r="C59" s="13" t="s">
        <v>266</v>
      </c>
      <c r="D59" s="12">
        <f>D38-AVERAGE(D39:D41)</f>
        <v>3.8602713365835373E-3</v>
      </c>
      <c r="E59" s="12">
        <f t="shared" ref="E59:I59" si="64">E38-AVERAGE(E39:E41)</f>
        <v>8.7054747322952153E-3</v>
      </c>
      <c r="F59" s="12">
        <f t="shared" si="64"/>
        <v>2.7208651727447686E-2</v>
      </c>
      <c r="G59" s="12">
        <f t="shared" si="64"/>
        <v>5.312791561238972E-2</v>
      </c>
      <c r="H59" s="12">
        <f t="shared" si="64"/>
        <v>4.5690166934451937E-2</v>
      </c>
      <c r="I59" s="12">
        <f t="shared" si="64"/>
        <v>3.0101761196246857E-2</v>
      </c>
      <c r="P59" s="104"/>
      <c r="Q59" s="13" t="s">
        <v>266</v>
      </c>
      <c r="R59" s="12">
        <f>R38-AVERAGE(R39:R41)</f>
        <v>4.9100768112365079E-3</v>
      </c>
      <c r="S59" s="12">
        <f t="shared" ref="S59:W59" si="65">S38-AVERAGE(S39:S41)</f>
        <v>1.2139866866918314E-2</v>
      </c>
      <c r="T59" s="12">
        <f t="shared" si="65"/>
        <v>1.7677209134992822E-2</v>
      </c>
      <c r="U59" s="12">
        <f t="shared" si="65"/>
        <v>5.0267574023770356E-2</v>
      </c>
      <c r="V59" s="12">
        <f t="shared" si="65"/>
        <v>2.8688498183217059E-2</v>
      </c>
      <c r="W59" s="12">
        <f t="shared" si="65"/>
        <v>2.5057833634708593E-2</v>
      </c>
      <c r="AD59" s="108"/>
      <c r="AE59" s="13" t="s">
        <v>266</v>
      </c>
      <c r="AF59" s="12">
        <f>AF38-AVERAGE(AF39:AF41)</f>
        <v>2.0351804759832226E-3</v>
      </c>
      <c r="AG59" s="12">
        <f t="shared" ref="AG59:AK59" si="66">AG38-AVERAGE(AG39:AG41)</f>
        <v>2.6514431016054774E-3</v>
      </c>
      <c r="AH59" s="12">
        <f t="shared" si="66"/>
        <v>4.5435371681574743E-2</v>
      </c>
      <c r="AI59" s="12">
        <f t="shared" si="66"/>
        <v>5.9151057420234854E-2</v>
      </c>
      <c r="AJ59" s="12">
        <f t="shared" si="66"/>
        <v>7.7531811803195683E-2</v>
      </c>
      <c r="AK59" s="12">
        <f t="shared" si="66"/>
        <v>3.9858912914367606E-2</v>
      </c>
    </row>
    <row r="60" spans="2:42">
      <c r="B60" s="100"/>
      <c r="P60" s="104"/>
      <c r="AD60" s="108"/>
    </row>
    <row r="61" spans="2:42">
      <c r="B61" s="100"/>
      <c r="C61" s="111" t="s">
        <v>267</v>
      </c>
      <c r="D61" s="12">
        <f>AF58-D58</f>
        <v>4.3649029489511992E-4</v>
      </c>
      <c r="E61" s="12">
        <f t="shared" ref="E61:I61" si="67">AG58-E58</f>
        <v>-2.2406285249604863E-3</v>
      </c>
      <c r="F61" s="12">
        <f t="shared" si="67"/>
        <v>2.2183012694463655E-2</v>
      </c>
      <c r="G61" s="12">
        <f t="shared" si="67"/>
        <v>-7.9278058413613239E-3</v>
      </c>
      <c r="H61" s="12">
        <f t="shared" si="67"/>
        <v>3.2089041905509319E-2</v>
      </c>
      <c r="I61" s="12">
        <f t="shared" si="67"/>
        <v>9.0592102187867507E-3</v>
      </c>
      <c r="P61" s="104"/>
      <c r="Q61" s="111" t="s">
        <v>267</v>
      </c>
      <c r="R61" s="12">
        <f>AF58-R58</f>
        <v>6.4720220677633167E-4</v>
      </c>
      <c r="S61" s="12">
        <f t="shared" ref="S61:W61" si="68">AG58-S58</f>
        <v>-3.5250150087154375E-3</v>
      </c>
      <c r="T61" s="12">
        <f t="shared" si="68"/>
        <v>3.4098754442234869E-2</v>
      </c>
      <c r="U61" s="12">
        <f t="shared" si="68"/>
        <v>-1.2304358686410999E-2</v>
      </c>
      <c r="V61" s="12">
        <f t="shared" si="68"/>
        <v>4.9444759663818116E-2</v>
      </c>
      <c r="W61" s="12">
        <f t="shared" si="68"/>
        <v>1.390555427997231E-2</v>
      </c>
      <c r="AD61" s="108"/>
      <c r="AE61" s="111" t="s">
        <v>268</v>
      </c>
      <c r="AF61" s="12">
        <f>AF58-R58</f>
        <v>6.4720220677633167E-4</v>
      </c>
      <c r="AG61" s="12">
        <f t="shared" ref="AG61:AK61" si="69">AG58-S58</f>
        <v>-3.5250150087154375E-3</v>
      </c>
      <c r="AH61" s="12">
        <f t="shared" si="69"/>
        <v>3.4098754442234869E-2</v>
      </c>
      <c r="AI61" s="12">
        <f t="shared" si="69"/>
        <v>-1.2304358686410999E-2</v>
      </c>
      <c r="AJ61" s="12">
        <f t="shared" si="69"/>
        <v>4.9444759663818116E-2</v>
      </c>
      <c r="AK61" s="12">
        <f t="shared" si="69"/>
        <v>1.390555427997231E-2</v>
      </c>
    </row>
    <row r="62" spans="2:42">
      <c r="B62" s="100"/>
      <c r="P62" s="104"/>
      <c r="AD62" s="108"/>
    </row>
    <row r="63" spans="2:42">
      <c r="B63" s="100"/>
      <c r="P63" s="104"/>
      <c r="AD63" s="108"/>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EEF0D-A083-4FE7-9E4A-A57A68A6D5F5}">
  <dimension ref="A1:F34"/>
  <sheetViews>
    <sheetView zoomScale="60" zoomScaleNormal="60" workbookViewId="0">
      <selection activeCell="G26" sqref="G26"/>
    </sheetView>
  </sheetViews>
  <sheetFormatPr defaultRowHeight="14.65"/>
  <cols>
    <col min="1" max="1" width="10.42578125" customWidth="1"/>
    <col min="2" max="2" width="12.7109375" bestFit="1" customWidth="1"/>
    <col min="3" max="4" width="11.85546875" customWidth="1"/>
    <col min="5" max="5" width="14.7109375" customWidth="1"/>
    <col min="6" max="6" width="18" bestFit="1" customWidth="1"/>
  </cols>
  <sheetData>
    <row r="1" spans="1:6" s="98" customFormat="1" ht="20.65">
      <c r="A1" s="98" t="s">
        <v>42</v>
      </c>
    </row>
    <row r="3" spans="1:6">
      <c r="A3" s="113" t="s">
        <v>43</v>
      </c>
    </row>
    <row r="5" spans="1:6">
      <c r="A5" s="7" t="s">
        <v>270</v>
      </c>
      <c r="B5" s="7" t="s">
        <v>271</v>
      </c>
      <c r="C5" s="7" t="s">
        <v>272</v>
      </c>
      <c r="D5" s="7" t="s">
        <v>273</v>
      </c>
      <c r="E5" s="7" t="s">
        <v>274</v>
      </c>
      <c r="F5" s="15" t="s">
        <v>275</v>
      </c>
    </row>
    <row r="6" spans="1:6">
      <c r="A6" t="s">
        <v>276</v>
      </c>
      <c r="B6">
        <v>2023</v>
      </c>
      <c r="C6">
        <v>540261</v>
      </c>
      <c r="D6" s="8">
        <f>Table12[[#This Row],[Population '#]]/$C$11</f>
        <v>0.10818368645251439</v>
      </c>
      <c r="E6">
        <v>4510</v>
      </c>
      <c r="F6" s="9"/>
    </row>
    <row r="7" spans="1:6">
      <c r="A7" t="s">
        <v>277</v>
      </c>
      <c r="B7">
        <v>2023</v>
      </c>
      <c r="C7">
        <v>13488</v>
      </c>
      <c r="D7" s="8">
        <f>Table12[[#This Row],[Population '#]]/$C$11</f>
        <v>2.7008826527761842E-3</v>
      </c>
      <c r="E7">
        <v>50</v>
      </c>
      <c r="F7" s="9">
        <f>Table12[[#This Row],[ECE workforce '#]]/$E$11</f>
        <v>1.5225334957369061E-3</v>
      </c>
    </row>
    <row r="8" spans="1:6">
      <c r="A8" t="s">
        <v>278</v>
      </c>
      <c r="B8">
        <v>2023</v>
      </c>
      <c r="C8">
        <v>27297</v>
      </c>
      <c r="D8" s="8">
        <f>Table12[[#This Row],[Population '#]]/$C$11</f>
        <v>5.4660434291838303E-3</v>
      </c>
      <c r="E8">
        <v>125</v>
      </c>
      <c r="F8" s="9">
        <f>Table12[[#This Row],[ECE workforce '#]]/$E$11</f>
        <v>3.8063337393422656E-3</v>
      </c>
    </row>
    <row r="9" spans="1:6">
      <c r="A9" t="s">
        <v>279</v>
      </c>
      <c r="B9">
        <v>2023</v>
      </c>
      <c r="C9">
        <v>816237</v>
      </c>
      <c r="D9" s="8">
        <f>Table12[[#This Row],[Population '#]]/$C$11</f>
        <v>0.16344605233200432</v>
      </c>
      <c r="E9">
        <v>6760</v>
      </c>
      <c r="F9" s="9">
        <f>Table12[[#This Row],[ECE workforce '#]]/$E$11</f>
        <v>0.20584652862362973</v>
      </c>
    </row>
    <row r="10" spans="1:6">
      <c r="A10" t="s">
        <v>280</v>
      </c>
      <c r="B10">
        <v>2023</v>
      </c>
      <c r="C10">
        <v>136077</v>
      </c>
      <c r="D10" s="8">
        <f>Table12[[#This Row],[Population '#]]/$C$11</f>
        <v>2.7248517848593182E-2</v>
      </c>
      <c r="E10">
        <v>1030</v>
      </c>
      <c r="F10" s="9">
        <f>Table12[[#This Row],[ECE workforce '#]]/$E$11</f>
        <v>3.1364190012180271E-2</v>
      </c>
    </row>
    <row r="11" spans="1:6">
      <c r="A11" t="s">
        <v>281</v>
      </c>
      <c r="B11">
        <v>2023</v>
      </c>
      <c r="C11">
        <v>4993923</v>
      </c>
      <c r="E11">
        <v>32840</v>
      </c>
    </row>
    <row r="13" spans="1:6">
      <c r="A13" t="s">
        <v>282</v>
      </c>
      <c r="F13" s="16"/>
    </row>
    <row r="14" spans="1:6">
      <c r="A14" t="s">
        <v>283</v>
      </c>
    </row>
    <row r="15" spans="1:6">
      <c r="A15" t="s">
        <v>284</v>
      </c>
      <c r="F15" s="16"/>
    </row>
    <row r="28" spans="2:2">
      <c r="B28" s="13"/>
    </row>
    <row r="31" spans="2:2">
      <c r="B31" s="13"/>
    </row>
    <row r="34" spans="2:2">
      <c r="B34" s="13"/>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0C9C6-49F7-4E90-B714-32359810F56B}">
  <dimension ref="A1:G93"/>
  <sheetViews>
    <sheetView zoomScale="60" zoomScaleNormal="60" workbookViewId="0">
      <selection activeCell="A79" sqref="A79:H94"/>
    </sheetView>
  </sheetViews>
  <sheetFormatPr defaultRowHeight="14.65"/>
  <cols>
    <col min="1" max="1" width="46.42578125" customWidth="1"/>
  </cols>
  <sheetData>
    <row r="1" spans="1:2" s="98" customFormat="1" ht="20.65">
      <c r="A1" s="98" t="s">
        <v>46</v>
      </c>
    </row>
    <row r="3" spans="1:2">
      <c r="A3" s="13" t="s">
        <v>285</v>
      </c>
    </row>
    <row r="4" spans="1:2">
      <c r="A4" s="41" t="s">
        <v>286</v>
      </c>
    </row>
    <row r="6" spans="1:2">
      <c r="A6" t="s">
        <v>287</v>
      </c>
      <c r="B6" t="s">
        <v>288</v>
      </c>
    </row>
    <row r="7" spans="1:2">
      <c r="A7" t="s">
        <v>289</v>
      </c>
      <c r="B7" s="16">
        <v>0.52800000000000002</v>
      </c>
    </row>
    <row r="8" spans="1:2">
      <c r="A8" t="s">
        <v>290</v>
      </c>
      <c r="B8" s="16">
        <v>6.4000000000000001E-2</v>
      </c>
    </row>
    <row r="9" spans="1:2">
      <c r="A9" t="s">
        <v>291</v>
      </c>
      <c r="B9" s="16">
        <v>2.5999999999999999E-2</v>
      </c>
    </row>
    <row r="10" spans="1:2">
      <c r="A10" t="s">
        <v>292</v>
      </c>
      <c r="B10" s="16">
        <v>8.0000000000000002E-3</v>
      </c>
    </row>
    <row r="11" spans="1:2">
      <c r="A11" t="s">
        <v>293</v>
      </c>
      <c r="B11" s="16">
        <v>6.6000000000000003E-2</v>
      </c>
    </row>
    <row r="12" spans="1:2">
      <c r="A12" t="s">
        <v>294</v>
      </c>
      <c r="B12" s="16">
        <v>0.151</v>
      </c>
    </row>
    <row r="13" spans="1:2">
      <c r="A13" t="s">
        <v>295</v>
      </c>
      <c r="B13" s="16">
        <v>0.155</v>
      </c>
    </row>
    <row r="14" spans="1:2">
      <c r="B14" s="16"/>
    </row>
    <row r="15" spans="1:2">
      <c r="A15" s="44" t="s">
        <v>296</v>
      </c>
    </row>
    <row r="17" spans="1:4">
      <c r="A17" t="s">
        <v>297</v>
      </c>
      <c r="B17" t="s">
        <v>298</v>
      </c>
    </row>
    <row r="18" spans="1:4">
      <c r="A18" t="s">
        <v>299</v>
      </c>
      <c r="B18" s="5">
        <v>0.3442089370796651</v>
      </c>
      <c r="D18" s="13"/>
    </row>
    <row r="19" spans="1:4">
      <c r="A19" t="s">
        <v>300</v>
      </c>
      <c r="B19" s="5">
        <v>7.3920119213348762E-2</v>
      </c>
    </row>
    <row r="20" spans="1:4">
      <c r="A20" t="s">
        <v>301</v>
      </c>
      <c r="B20" s="5">
        <v>6.867512401717614E-2</v>
      </c>
    </row>
    <row r="21" spans="1:4">
      <c r="A21" t="s">
        <v>302</v>
      </c>
      <c r="B21" s="5">
        <v>6.6273210329209228E-2</v>
      </c>
    </row>
    <row r="22" spans="1:4">
      <c r="A22" t="s">
        <v>303</v>
      </c>
      <c r="B22" s="5">
        <v>6.1175271073116211E-2</v>
      </c>
    </row>
    <row r="23" spans="1:4">
      <c r="A23" t="s">
        <v>304</v>
      </c>
      <c r="B23" s="5">
        <v>5.4606772416227134E-2</v>
      </c>
    </row>
    <row r="24" spans="1:4">
      <c r="A24" t="s">
        <v>305</v>
      </c>
      <c r="B24" s="5">
        <v>4.4116782023881883E-2</v>
      </c>
    </row>
    <row r="25" spans="1:4">
      <c r="A25" t="s">
        <v>306</v>
      </c>
      <c r="B25" s="5">
        <v>2.57347895139311E-2</v>
      </c>
    </row>
    <row r="26" spans="1:4">
      <c r="A26" t="s">
        <v>307</v>
      </c>
      <c r="B26" s="5">
        <v>2.4999509813533067E-2</v>
      </c>
    </row>
    <row r="27" spans="1:4">
      <c r="A27" t="s">
        <v>308</v>
      </c>
      <c r="B27" s="5">
        <v>2.3357385149310798E-2</v>
      </c>
    </row>
    <row r="28" spans="1:4">
      <c r="A28" t="s">
        <v>309</v>
      </c>
      <c r="B28" s="5">
        <v>2.269563341895257E-2</v>
      </c>
    </row>
    <row r="29" spans="1:4">
      <c r="A29" t="s">
        <v>310</v>
      </c>
      <c r="B29" s="5">
        <v>1.9685888511989959E-2</v>
      </c>
    </row>
    <row r="30" spans="1:4">
      <c r="A30" t="s">
        <v>311</v>
      </c>
      <c r="B30" s="5">
        <v>1.4092860924295602E-2</v>
      </c>
    </row>
    <row r="31" spans="1:4">
      <c r="A31" t="s">
        <v>312</v>
      </c>
      <c r="B31" s="5">
        <v>1.0391953098958844E-2</v>
      </c>
    </row>
    <row r="32" spans="1:4">
      <c r="A32" t="s">
        <v>313</v>
      </c>
      <c r="B32" s="5">
        <v>1.0367443775612243E-2</v>
      </c>
    </row>
    <row r="33" spans="1:4">
      <c r="A33" t="s">
        <v>314</v>
      </c>
      <c r="B33" s="5">
        <v>9.9017666320268226E-3</v>
      </c>
    </row>
    <row r="34" spans="1:4">
      <c r="A34" t="s">
        <v>315</v>
      </c>
      <c r="B34" s="5">
        <v>9.3723652477402403E-3</v>
      </c>
    </row>
    <row r="35" spans="1:4">
      <c r="A35" t="s">
        <v>316</v>
      </c>
      <c r="B35" s="5">
        <v>8.6664967353581295E-3</v>
      </c>
    </row>
    <row r="36" spans="1:4">
      <c r="A36" t="s">
        <v>317</v>
      </c>
      <c r="B36" s="5">
        <v>8.3331699378443556E-3</v>
      </c>
    </row>
    <row r="37" spans="1:4">
      <c r="A37" t="s">
        <v>318</v>
      </c>
      <c r="B37" s="5">
        <v>6.6175173035822824E-3</v>
      </c>
    </row>
    <row r="38" spans="1:4">
      <c r="A38" t="s">
        <v>319</v>
      </c>
      <c r="B38" s="5">
        <v>6.5783023862277211E-3</v>
      </c>
    </row>
    <row r="39" spans="1:4">
      <c r="A39" t="s">
        <v>320</v>
      </c>
      <c r="B39" s="5">
        <v>6.2841905060685085E-3</v>
      </c>
    </row>
    <row r="40" spans="1:4">
      <c r="A40" t="s">
        <v>321</v>
      </c>
      <c r="B40" s="5">
        <v>6.1028215133036605E-3</v>
      </c>
    </row>
    <row r="41" spans="1:4">
      <c r="A41" t="s">
        <v>322</v>
      </c>
      <c r="B41" s="5">
        <v>5.7106723397580437E-3</v>
      </c>
    </row>
    <row r="42" spans="1:4">
      <c r="A42" t="s">
        <v>323</v>
      </c>
      <c r="B42" s="5">
        <v>5.3724436775749495E-3</v>
      </c>
    </row>
    <row r="43" spans="1:4">
      <c r="A43" t="s">
        <v>324</v>
      </c>
      <c r="B43" s="5">
        <v>5.0979392560930176E-3</v>
      </c>
    </row>
    <row r="44" spans="1:4">
      <c r="A44" t="s">
        <v>325</v>
      </c>
      <c r="B44" s="5">
        <v>4.7106919472167212E-3</v>
      </c>
    </row>
    <row r="45" spans="1:4">
      <c r="A45" t="s">
        <v>326</v>
      </c>
      <c r="B45" s="5">
        <v>4.588145330483716E-3</v>
      </c>
      <c r="D45" s="13"/>
    </row>
    <row r="46" spans="1:4">
      <c r="A46" t="s">
        <v>327</v>
      </c>
      <c r="B46" s="5">
        <v>3.9509029234720888E-3</v>
      </c>
    </row>
    <row r="47" spans="1:4">
      <c r="A47" t="s">
        <v>328</v>
      </c>
      <c r="B47" s="5">
        <v>3.8528656300856846E-3</v>
      </c>
    </row>
    <row r="48" spans="1:4">
      <c r="A48" t="s">
        <v>329</v>
      </c>
      <c r="B48" s="5">
        <v>3.8528656300856846E-3</v>
      </c>
      <c r="D48" s="13"/>
    </row>
    <row r="49" spans="1:4">
      <c r="A49" t="s">
        <v>330</v>
      </c>
      <c r="B49" s="5">
        <v>3.6322817199662752E-3</v>
      </c>
    </row>
    <row r="50" spans="1:4">
      <c r="A50" t="s">
        <v>331</v>
      </c>
      <c r="B50" s="5">
        <v>3.6273798552969548E-3</v>
      </c>
    </row>
    <row r="51" spans="1:4">
      <c r="A51" t="s">
        <v>332</v>
      </c>
      <c r="B51" s="5">
        <v>2.9166094782455245E-3</v>
      </c>
      <c r="D51" s="13"/>
    </row>
    <row r="52" spans="1:4">
      <c r="A52" t="s">
        <v>333</v>
      </c>
      <c r="B52" s="5">
        <v>2.8234740495284407E-3</v>
      </c>
    </row>
    <row r="53" spans="1:4">
      <c r="A53" t="s">
        <v>334</v>
      </c>
      <c r="B53" s="5">
        <v>2.2303484245406952E-3</v>
      </c>
    </row>
    <row r="54" spans="1:4">
      <c r="A54" t="s">
        <v>335</v>
      </c>
      <c r="B54" s="5">
        <v>1.9117272210348816E-3</v>
      </c>
    </row>
    <row r="55" spans="1:4">
      <c r="A55" t="s">
        <v>336</v>
      </c>
      <c r="B55" s="5">
        <v>1.9117272210348816E-3</v>
      </c>
    </row>
    <row r="56" spans="1:4">
      <c r="A56" t="s">
        <v>337</v>
      </c>
      <c r="B56" s="5">
        <v>1.7401619576086743E-3</v>
      </c>
    </row>
    <row r="57" spans="1:4">
      <c r="A57" t="s">
        <v>338</v>
      </c>
      <c r="B57" s="5">
        <v>1.6421246642222701E-3</v>
      </c>
    </row>
    <row r="58" spans="1:4">
      <c r="A58" t="s">
        <v>339</v>
      </c>
      <c r="B58" s="5">
        <v>1.6421246642222701E-3</v>
      </c>
    </row>
    <row r="59" spans="1:4">
      <c r="A59" t="s">
        <v>340</v>
      </c>
      <c r="B59" s="5">
        <v>1.3235034607164565E-3</v>
      </c>
    </row>
    <row r="60" spans="1:4">
      <c r="A60" t="s">
        <v>341</v>
      </c>
      <c r="B60" s="5">
        <v>1.2744848140232544E-3</v>
      </c>
    </row>
    <row r="61" spans="1:4">
      <c r="A61" t="s">
        <v>342</v>
      </c>
      <c r="B61" s="5">
        <v>1.2499754906766533E-3</v>
      </c>
    </row>
    <row r="62" spans="1:4">
      <c r="A62" t="s">
        <v>343</v>
      </c>
      <c r="B62" s="5">
        <v>1.1764475206368502E-3</v>
      </c>
    </row>
    <row r="63" spans="1:4">
      <c r="A63" t="s">
        <v>344</v>
      </c>
      <c r="B63" s="5">
        <v>1.0637046332424855E-3</v>
      </c>
    </row>
    <row r="64" spans="1:4">
      <c r="A64" t="s">
        <v>345</v>
      </c>
      <c r="B64" s="5">
        <v>1.0440971745652046E-3</v>
      </c>
    </row>
    <row r="65" spans="1:2">
      <c r="A65" t="s">
        <v>346</v>
      </c>
      <c r="B65" s="5">
        <v>1.0195878512186036E-3</v>
      </c>
    </row>
    <row r="66" spans="1:2">
      <c r="A66" t="s">
        <v>295</v>
      </c>
      <c r="B66" s="5">
        <v>8.921393698162781E-4</v>
      </c>
    </row>
    <row r="67" spans="1:2">
      <c r="A67" t="s">
        <v>347</v>
      </c>
      <c r="B67" s="5">
        <v>7.1567224172075061E-4</v>
      </c>
    </row>
    <row r="68" spans="1:2">
      <c r="A68" t="s">
        <v>348</v>
      </c>
      <c r="B68" s="5">
        <v>6.4704613635026764E-4</v>
      </c>
    </row>
    <row r="69" spans="1:2">
      <c r="A69" t="s">
        <v>349</v>
      </c>
      <c r="B69" s="5">
        <v>5.3920511362522301E-4</v>
      </c>
    </row>
    <row r="70" spans="1:2">
      <c r="A70" t="s">
        <v>350</v>
      </c>
      <c r="B70" s="5">
        <v>4.7057900825474009E-4</v>
      </c>
    </row>
    <row r="71" spans="1:2">
      <c r="A71" t="s">
        <v>351</v>
      </c>
      <c r="B71" s="5">
        <v>4.4116782023881883E-4</v>
      </c>
    </row>
    <row r="72" spans="1:2">
      <c r="A72" t="s">
        <v>352</v>
      </c>
      <c r="B72" s="5">
        <v>3.6763985019901569E-4</v>
      </c>
    </row>
    <row r="73" spans="1:2">
      <c r="A73" t="s">
        <v>353</v>
      </c>
      <c r="B73" s="5">
        <v>2.9901374482853277E-4</v>
      </c>
    </row>
    <row r="74" spans="1:2">
      <c r="A74" t="s">
        <v>354</v>
      </c>
      <c r="B74" s="5">
        <v>1.029391580557244E-4</v>
      </c>
    </row>
    <row r="75" spans="1:2">
      <c r="A75" t="s">
        <v>355</v>
      </c>
      <c r="B75" s="5">
        <v>0</v>
      </c>
    </row>
    <row r="79" spans="1:2">
      <c r="A79" s="42" t="s">
        <v>356</v>
      </c>
    </row>
    <row r="82" spans="1:7">
      <c r="A82" t="s">
        <v>357</v>
      </c>
      <c r="B82" t="s">
        <v>358</v>
      </c>
      <c r="C82" t="s">
        <v>359</v>
      </c>
      <c r="D82" t="s">
        <v>295</v>
      </c>
      <c r="E82" t="s">
        <v>360</v>
      </c>
      <c r="F82" t="s">
        <v>361</v>
      </c>
      <c r="G82" t="s">
        <v>362</v>
      </c>
    </row>
    <row r="83" spans="1:7">
      <c r="A83" t="s">
        <v>363</v>
      </c>
      <c r="B83" s="5">
        <v>2.6935401476803045E-3</v>
      </c>
      <c r="C83" s="5">
        <v>0.11037322559172742</v>
      </c>
      <c r="D83" s="5">
        <v>2.9180018266536635E-2</v>
      </c>
      <c r="E83" s="5">
        <v>1.0247836653818171E-2</v>
      </c>
      <c r="F83" s="5">
        <v>2.6161395687239741E-3</v>
      </c>
      <c r="G83" s="5">
        <v>0.15511076022848652</v>
      </c>
    </row>
    <row r="84" spans="1:7">
      <c r="A84" t="s">
        <v>364</v>
      </c>
      <c r="B84" s="5">
        <v>2.229136673942321E-2</v>
      </c>
      <c r="C84" s="5">
        <v>0.36734314772674498</v>
      </c>
      <c r="D84" s="5">
        <v>0.10387157695939565</v>
      </c>
      <c r="E84" s="5">
        <v>1.679592563352374E-2</v>
      </c>
      <c r="F84" s="5">
        <v>7.6781374324679953E-3</v>
      </c>
      <c r="G84" s="5">
        <v>0.51798015449155554</v>
      </c>
    </row>
    <row r="85" spans="1:7">
      <c r="A85" t="s">
        <v>365</v>
      </c>
      <c r="B85" s="5">
        <v>3.0263626371925263E-2</v>
      </c>
      <c r="C85" s="5">
        <v>0.15789718107091441</v>
      </c>
      <c r="D85" s="5">
        <v>2.5696992213501756E-2</v>
      </c>
      <c r="E85" s="5">
        <v>6.2075264322977138E-3</v>
      </c>
      <c r="F85" s="5">
        <v>1.0356197464357033E-2</v>
      </c>
      <c r="G85" s="5">
        <v>0.23042152355299617</v>
      </c>
    </row>
    <row r="86" spans="1:7">
      <c r="A86" t="s">
        <v>366</v>
      </c>
      <c r="B86" s="5">
        <v>1.3932104212139508E-4</v>
      </c>
      <c r="C86" s="5">
        <v>1.3932104212139506E-2</v>
      </c>
      <c r="D86" s="5">
        <v>2.9876623477143611E-3</v>
      </c>
      <c r="E86" s="5">
        <v>1.6099320422916764E-3</v>
      </c>
      <c r="F86" s="5">
        <v>0</v>
      </c>
      <c r="G86" s="5">
        <v>1.866901964426694E-2</v>
      </c>
    </row>
    <row r="87" spans="1:7">
      <c r="A87" t="s">
        <v>295</v>
      </c>
      <c r="B87" s="5">
        <v>0</v>
      </c>
      <c r="C87" s="5">
        <v>2.9102617687580302E-3</v>
      </c>
      <c r="D87" s="5">
        <v>3.2508243161658847E-4</v>
      </c>
      <c r="E87" s="5">
        <v>0</v>
      </c>
      <c r="F87" s="5">
        <v>0</v>
      </c>
      <c r="G87" s="5">
        <v>3.2353442003746186E-3</v>
      </c>
    </row>
    <row r="88" spans="1:7">
      <c r="A88" t="s">
        <v>367</v>
      </c>
      <c r="B88" s="5">
        <v>5.6192820322296007E-3</v>
      </c>
      <c r="C88" s="5">
        <v>4.3344324215545134E-2</v>
      </c>
      <c r="D88" s="5">
        <v>1.2616294369881887E-2</v>
      </c>
      <c r="E88" s="5">
        <v>4.4582733478846425E-3</v>
      </c>
      <c r="F88" s="5">
        <v>5.5728416848558032E-4</v>
      </c>
      <c r="G88" s="5">
        <v>6.6595458134026841E-2</v>
      </c>
    </row>
    <row r="89" spans="1:7">
      <c r="A89" t="s">
        <v>368</v>
      </c>
      <c r="B89" s="5">
        <v>0</v>
      </c>
      <c r="C89" s="5">
        <v>1.965974705490797E-3</v>
      </c>
      <c r="D89" s="5">
        <v>4.1177108004767874E-3</v>
      </c>
      <c r="E89" s="5">
        <v>1.9040542423257327E-3</v>
      </c>
      <c r="F89" s="5">
        <v>0</v>
      </c>
      <c r="G89" s="5">
        <v>7.9877397482933168E-3</v>
      </c>
    </row>
    <row r="92" spans="1:7">
      <c r="A92" s="41" t="s">
        <v>369</v>
      </c>
    </row>
    <row r="93" spans="1:7">
      <c r="A93" t="s">
        <v>370</v>
      </c>
    </row>
  </sheetData>
  <pageMargins left="0.7" right="0.7" top="0.75" bottom="0.75" header="0.3" footer="0.3"/>
  <pageSetup paperSize="9" orientation="portrait" r:id="rId1"/>
  <drawing r:id="rId2"/>
  <tableParts count="3">
    <tablePart r:id="rId3"/>
    <tablePart r:id="rId4"/>
    <tablePart r:id="rId5"/>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7D835-8F34-461D-9C2D-26406C6CD8E5}">
  <dimension ref="A1:F39"/>
  <sheetViews>
    <sheetView zoomScale="60" zoomScaleNormal="60" workbookViewId="0">
      <selection activeCell="C29" sqref="C29"/>
    </sheetView>
  </sheetViews>
  <sheetFormatPr defaultRowHeight="14.65"/>
  <cols>
    <col min="1" max="1" width="40.85546875" bestFit="1" customWidth="1"/>
    <col min="2" max="2" width="40.85546875" customWidth="1"/>
    <col min="4" max="4" width="18.28515625" customWidth="1"/>
    <col min="5" max="5" width="11.140625" customWidth="1"/>
  </cols>
  <sheetData>
    <row r="1" spans="1:6" s="98" customFormat="1" ht="20.65">
      <c r="A1" s="98" t="s">
        <v>50</v>
      </c>
    </row>
    <row r="3" spans="1:6">
      <c r="A3" s="42" t="s">
        <v>51</v>
      </c>
      <c r="B3" s="42"/>
    </row>
    <row r="4" spans="1:6">
      <c r="A4" s="42"/>
      <c r="B4" s="42"/>
    </row>
    <row r="5" spans="1:6">
      <c r="A5" t="s">
        <v>371</v>
      </c>
      <c r="B5" t="s">
        <v>372</v>
      </c>
      <c r="C5" t="s">
        <v>373</v>
      </c>
      <c r="D5" t="s">
        <v>374</v>
      </c>
      <c r="E5" t="s">
        <v>375</v>
      </c>
    </row>
    <row r="6" spans="1:6">
      <c r="A6" t="s">
        <v>376</v>
      </c>
      <c r="B6" t="s">
        <v>377</v>
      </c>
      <c r="C6">
        <v>7000</v>
      </c>
      <c r="D6">
        <v>6</v>
      </c>
      <c r="E6">
        <f>D6*C6</f>
        <v>42000</v>
      </c>
      <c r="F6" s="4"/>
    </row>
    <row r="7" spans="1:6">
      <c r="A7" t="s">
        <v>378</v>
      </c>
      <c r="B7" t="s">
        <v>379</v>
      </c>
      <c r="C7">
        <v>4580</v>
      </c>
      <c r="D7">
        <v>18</v>
      </c>
      <c r="E7">
        <f t="shared" ref="E7:E11" si="0">D7*C7</f>
        <v>82440</v>
      </c>
      <c r="F7" s="4"/>
    </row>
    <row r="8" spans="1:6">
      <c r="A8" t="s">
        <v>380</v>
      </c>
      <c r="B8" s="74" t="s">
        <v>381</v>
      </c>
      <c r="C8">
        <v>3285</v>
      </c>
      <c r="D8">
        <v>30</v>
      </c>
      <c r="E8">
        <f t="shared" si="0"/>
        <v>98550</v>
      </c>
      <c r="F8" s="4"/>
    </row>
    <row r="9" spans="1:6">
      <c r="A9" t="s">
        <v>382</v>
      </c>
      <c r="B9" t="s">
        <v>383</v>
      </c>
      <c r="C9">
        <v>2860</v>
      </c>
      <c r="D9">
        <v>42</v>
      </c>
      <c r="E9">
        <f t="shared" si="0"/>
        <v>120120</v>
      </c>
      <c r="F9" s="4"/>
    </row>
    <row r="10" spans="1:6">
      <c r="A10" t="s">
        <v>384</v>
      </c>
      <c r="B10" t="s">
        <v>385</v>
      </c>
      <c r="C10">
        <v>2560</v>
      </c>
      <c r="D10">
        <v>54</v>
      </c>
      <c r="E10">
        <f t="shared" si="0"/>
        <v>138240</v>
      </c>
      <c r="F10" s="4"/>
    </row>
    <row r="11" spans="1:6">
      <c r="A11" t="s">
        <v>386</v>
      </c>
      <c r="B11" t="s">
        <v>387</v>
      </c>
      <c r="C11">
        <v>16540</v>
      </c>
      <c r="D11">
        <v>60</v>
      </c>
      <c r="E11">
        <f t="shared" si="0"/>
        <v>992400</v>
      </c>
      <c r="F11" s="4"/>
    </row>
    <row r="14" spans="1:6">
      <c r="A14" t="s">
        <v>388</v>
      </c>
      <c r="C14" s="43">
        <f>SUM(E6:E11)/SUM(C6:C11)</f>
        <v>40.020366598778004</v>
      </c>
    </row>
    <row r="15" spans="1:6">
      <c r="A15" t="s">
        <v>389</v>
      </c>
      <c r="C15" s="43">
        <f>C14/12</f>
        <v>3.3350305498981672</v>
      </c>
    </row>
    <row r="18" spans="1:1">
      <c r="A18" s="13"/>
    </row>
    <row r="33" spans="1:1">
      <c r="A33" s="13"/>
    </row>
    <row r="36" spans="1:1">
      <c r="A36" s="13"/>
    </row>
    <row r="39" spans="1:1">
      <c r="A39" s="13"/>
    </row>
  </sheetData>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748F6-8B85-4734-B2A1-81E88203A885}">
  <dimension ref="A1:K30"/>
  <sheetViews>
    <sheetView zoomScale="70" zoomScaleNormal="70" workbookViewId="0">
      <selection activeCell="G26" sqref="G26"/>
    </sheetView>
  </sheetViews>
  <sheetFormatPr defaultRowHeight="14.65"/>
  <cols>
    <col min="2" max="2" width="16.5703125" customWidth="1"/>
  </cols>
  <sheetData>
    <row r="1" spans="1:11" s="98" customFormat="1" ht="20.65">
      <c r="A1" s="98" t="s">
        <v>54</v>
      </c>
    </row>
    <row r="3" spans="1:11">
      <c r="A3" t="s">
        <v>390</v>
      </c>
    </row>
    <row r="5" spans="1:11">
      <c r="A5" t="s">
        <v>391</v>
      </c>
    </row>
    <row r="6" spans="1:11">
      <c r="A6" t="s">
        <v>392</v>
      </c>
    </row>
    <row r="7" spans="1:11">
      <c r="A7" t="s">
        <v>393</v>
      </c>
    </row>
    <row r="8" spans="1:11">
      <c r="A8" t="s">
        <v>394</v>
      </c>
    </row>
    <row r="10" spans="1:11">
      <c r="A10" s="13" t="s">
        <v>395</v>
      </c>
      <c r="B10" s="13" t="s">
        <v>177</v>
      </c>
      <c r="C10" s="13" t="s">
        <v>178</v>
      </c>
      <c r="D10" s="13" t="s">
        <v>179</v>
      </c>
      <c r="E10" s="13" t="s">
        <v>180</v>
      </c>
      <c r="F10" s="13" t="s">
        <v>181</v>
      </c>
      <c r="G10" s="13" t="s">
        <v>182</v>
      </c>
      <c r="H10" s="13" t="s">
        <v>183</v>
      </c>
      <c r="I10" s="13" t="s">
        <v>184</v>
      </c>
      <c r="J10" s="13" t="s">
        <v>185</v>
      </c>
      <c r="K10" s="13" t="s">
        <v>186</v>
      </c>
    </row>
    <row r="11" spans="1:11">
      <c r="A11" t="s">
        <v>396</v>
      </c>
      <c r="B11">
        <v>27.9</v>
      </c>
      <c r="C11">
        <v>28.63</v>
      </c>
      <c r="D11">
        <v>33.14</v>
      </c>
      <c r="E11">
        <v>28.98</v>
      </c>
      <c r="F11">
        <v>33.58</v>
      </c>
      <c r="G11">
        <v>30.27</v>
      </c>
      <c r="K11">
        <v>34.69</v>
      </c>
    </row>
    <row r="12" spans="1:11">
      <c r="A12" t="s">
        <v>397</v>
      </c>
      <c r="B12">
        <v>22.99</v>
      </c>
      <c r="C12">
        <v>23.53</v>
      </c>
      <c r="D12">
        <v>27.71</v>
      </c>
      <c r="E12">
        <v>23.66</v>
      </c>
      <c r="F12">
        <v>29.61</v>
      </c>
      <c r="G12">
        <v>25.16</v>
      </c>
      <c r="J12">
        <v>29.79</v>
      </c>
      <c r="K12">
        <v>32.72</v>
      </c>
    </row>
    <row r="13" spans="1:11">
      <c r="A13" t="s">
        <v>398</v>
      </c>
      <c r="B13">
        <v>17.600000000000001</v>
      </c>
      <c r="C13">
        <v>18.25</v>
      </c>
      <c r="D13">
        <v>20.63</v>
      </c>
      <c r="E13">
        <v>17.809999999999999</v>
      </c>
      <c r="F13">
        <v>30.17</v>
      </c>
      <c r="G13">
        <v>19.54</v>
      </c>
      <c r="J13">
        <v>22.23</v>
      </c>
      <c r="K13">
        <v>24.05</v>
      </c>
    </row>
    <row r="14" spans="1:11">
      <c r="A14" t="s">
        <v>399</v>
      </c>
      <c r="G14">
        <v>30.27</v>
      </c>
      <c r="H14" s="86">
        <f>G11+((K11-G11)/4)</f>
        <v>31.375</v>
      </c>
      <c r="I14" s="86">
        <f>G11+((K11-G11)/3)</f>
        <v>31.743333333333332</v>
      </c>
      <c r="J14">
        <f>G11+((K11-G11)/2)</f>
        <v>32.479999999999997</v>
      </c>
      <c r="K14">
        <v>34.69</v>
      </c>
    </row>
    <row r="15" spans="1:11">
      <c r="A15" t="s">
        <v>400</v>
      </c>
      <c r="G15">
        <v>25.16</v>
      </c>
      <c r="H15" s="86">
        <f>G12+((J12-G12)/3)</f>
        <v>26.703333333333333</v>
      </c>
      <c r="I15" s="86">
        <f>G12+((J12-G12)/2)</f>
        <v>27.475000000000001</v>
      </c>
      <c r="J15">
        <v>29.79</v>
      </c>
    </row>
    <row r="16" spans="1:11">
      <c r="A16" t="s">
        <v>401</v>
      </c>
      <c r="G16">
        <v>19.54</v>
      </c>
      <c r="H16" s="86">
        <f>G13+((J13-G13)/3)</f>
        <v>20.436666666666667</v>
      </c>
      <c r="I16" s="86">
        <f>G13+((J13-G13)/2)</f>
        <v>20.884999999999998</v>
      </c>
      <c r="J16">
        <v>22.23</v>
      </c>
    </row>
    <row r="19" spans="1:2">
      <c r="A19" t="s">
        <v>402</v>
      </c>
    </row>
    <row r="20" spans="1:2">
      <c r="A20" t="s">
        <v>403</v>
      </c>
      <c r="B20" t="s">
        <v>404</v>
      </c>
    </row>
    <row r="21" spans="1:2">
      <c r="A21">
        <v>2015</v>
      </c>
      <c r="B21" s="122">
        <v>27057.6875</v>
      </c>
    </row>
    <row r="22" spans="1:2">
      <c r="A22">
        <v>2016</v>
      </c>
      <c r="B22" s="122">
        <v>27702.6875</v>
      </c>
    </row>
    <row r="23" spans="1:2">
      <c r="A23">
        <v>2017</v>
      </c>
      <c r="B23" s="122">
        <v>27953.875</v>
      </c>
    </row>
    <row r="24" spans="1:2">
      <c r="A24">
        <v>2018</v>
      </c>
      <c r="B24" s="122">
        <v>30488.25</v>
      </c>
    </row>
    <row r="25" spans="1:2">
      <c r="A25">
        <v>2019</v>
      </c>
      <c r="B25" s="122">
        <v>34913.75</v>
      </c>
    </row>
    <row r="26" spans="1:2">
      <c r="A26">
        <v>2020</v>
      </c>
      <c r="B26" s="122">
        <v>40302.75</v>
      </c>
    </row>
    <row r="27" spans="1:2">
      <c r="A27">
        <v>2021</v>
      </c>
      <c r="B27" s="122">
        <v>39577.8125</v>
      </c>
    </row>
    <row r="28" spans="1:2">
      <c r="A28">
        <v>2022</v>
      </c>
      <c r="B28" s="122">
        <v>43882.5625</v>
      </c>
    </row>
    <row r="29" spans="1:2">
      <c r="A29">
        <v>2023</v>
      </c>
      <c r="B29" s="122">
        <v>42868.1875</v>
      </c>
    </row>
    <row r="30" spans="1:2">
      <c r="A30">
        <v>2024</v>
      </c>
      <c r="B30" s="122">
        <v>49142.75</v>
      </c>
    </row>
  </sheetData>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4407E-3CA9-4D38-B9F5-62537FAED3E0}">
  <dimension ref="A1:R66"/>
  <sheetViews>
    <sheetView workbookViewId="0">
      <selection activeCell="A2" sqref="A2:XFD2"/>
    </sheetView>
  </sheetViews>
  <sheetFormatPr defaultRowHeight="14.65"/>
  <cols>
    <col min="1" max="1" width="11.5703125" customWidth="1"/>
    <col min="2" max="2" width="14.7109375" customWidth="1"/>
    <col min="3" max="3" width="10.42578125" bestFit="1" customWidth="1"/>
    <col min="4" max="4" width="10.7109375" customWidth="1"/>
    <col min="6" max="6" width="11.28515625" customWidth="1"/>
    <col min="7" max="7" width="9" customWidth="1"/>
  </cols>
  <sheetData>
    <row r="1" spans="1:18" s="98" customFormat="1" ht="20.65">
      <c r="A1" s="98" t="s">
        <v>58</v>
      </c>
    </row>
    <row r="2" spans="1:18" s="116" customFormat="1" ht="12.6" customHeight="1"/>
    <row r="3" spans="1:18">
      <c r="A3" s="18" t="s">
        <v>55</v>
      </c>
    </row>
    <row r="5" spans="1:18">
      <c r="A5" s="7" t="s">
        <v>405</v>
      </c>
      <c r="B5" s="7" t="s">
        <v>271</v>
      </c>
      <c r="C5" s="7" t="s">
        <v>206</v>
      </c>
      <c r="D5" s="7" t="s">
        <v>406</v>
      </c>
      <c r="E5" s="7" t="s">
        <v>407</v>
      </c>
      <c r="F5" s="7" t="s">
        <v>408</v>
      </c>
      <c r="G5" s="7" t="s">
        <v>409</v>
      </c>
    </row>
    <row r="6" spans="1:18">
      <c r="A6" t="s">
        <v>410</v>
      </c>
      <c r="B6">
        <v>2013</v>
      </c>
      <c r="C6" t="s">
        <v>411</v>
      </c>
      <c r="D6">
        <v>608250</v>
      </c>
      <c r="E6">
        <v>2211</v>
      </c>
      <c r="F6" s="8">
        <v>0.13584893018269531</v>
      </c>
      <c r="G6" s="8">
        <v>0.10631852279284477</v>
      </c>
      <c r="I6" s="40"/>
    </row>
    <row r="7" spans="1:18">
      <c r="A7" t="s">
        <v>412</v>
      </c>
      <c r="B7">
        <v>2013</v>
      </c>
      <c r="C7" t="s">
        <v>411</v>
      </c>
      <c r="D7">
        <v>271176</v>
      </c>
      <c r="E7">
        <v>2268</v>
      </c>
      <c r="F7" s="8">
        <v>6.0565506767320317E-2</v>
      </c>
      <c r="G7" s="8">
        <v>0.1090594345066359</v>
      </c>
    </row>
    <row r="8" spans="1:18">
      <c r="A8" t="s">
        <v>413</v>
      </c>
      <c r="B8">
        <v>2013</v>
      </c>
      <c r="C8" t="s">
        <v>411</v>
      </c>
      <c r="D8">
        <v>265446</v>
      </c>
      <c r="E8">
        <v>2472</v>
      </c>
      <c r="F8" s="8">
        <v>5.928574619198642E-2</v>
      </c>
      <c r="G8" s="8">
        <v>0.11886901327178304</v>
      </c>
    </row>
    <row r="9" spans="1:18">
      <c r="A9" t="s">
        <v>414</v>
      </c>
      <c r="B9">
        <v>2013</v>
      </c>
      <c r="C9" t="s">
        <v>411</v>
      </c>
      <c r="D9">
        <v>273204</v>
      </c>
      <c r="E9">
        <v>2706</v>
      </c>
      <c r="F9" s="8">
        <v>6.1018448206548441E-2</v>
      </c>
      <c r="G9" s="8">
        <v>0.13012117714945182</v>
      </c>
      <c r="I9" s="40"/>
    </row>
    <row r="10" spans="1:18">
      <c r="A10" t="s">
        <v>415</v>
      </c>
      <c r="B10">
        <v>2013</v>
      </c>
      <c r="C10" t="s">
        <v>411</v>
      </c>
      <c r="D10">
        <v>310590</v>
      </c>
      <c r="E10">
        <v>3045</v>
      </c>
      <c r="F10" s="8">
        <v>6.9368383436816006E-2</v>
      </c>
      <c r="G10" s="8">
        <v>0.14642238892094633</v>
      </c>
    </row>
    <row r="11" spans="1:18">
      <c r="A11" t="s">
        <v>416</v>
      </c>
      <c r="B11">
        <v>2013</v>
      </c>
      <c r="C11" t="s">
        <v>411</v>
      </c>
      <c r="D11">
        <v>306405</v>
      </c>
      <c r="E11">
        <v>2511</v>
      </c>
      <c r="F11" s="8">
        <v>6.843368919462188E-2</v>
      </c>
      <c r="G11" s="8">
        <v>0.12074437391806117</v>
      </c>
    </row>
    <row r="12" spans="1:18">
      <c r="A12" t="s">
        <v>417</v>
      </c>
      <c r="B12">
        <v>2013</v>
      </c>
      <c r="C12" t="s">
        <v>411</v>
      </c>
      <c r="D12">
        <v>306228</v>
      </c>
      <c r="E12">
        <v>2154</v>
      </c>
      <c r="F12" s="8">
        <v>6.8394157323446642E-2</v>
      </c>
      <c r="G12" s="8">
        <v>0.10357761107905367</v>
      </c>
      <c r="I12" s="13"/>
    </row>
    <row r="13" spans="1:18">
      <c r="A13" t="s">
        <v>418</v>
      </c>
      <c r="B13">
        <v>2013</v>
      </c>
      <c r="C13" t="s">
        <v>411</v>
      </c>
      <c r="D13">
        <v>268626</v>
      </c>
      <c r="E13">
        <v>1713</v>
      </c>
      <c r="F13" s="8">
        <v>5.9995979809710991E-2</v>
      </c>
      <c r="G13" s="8">
        <v>8.2371609924985573E-2</v>
      </c>
    </row>
    <row r="14" spans="1:18">
      <c r="A14" t="s">
        <v>419</v>
      </c>
      <c r="B14">
        <v>2013</v>
      </c>
      <c r="C14" t="s">
        <v>411</v>
      </c>
      <c r="D14">
        <v>244146</v>
      </c>
      <c r="E14">
        <v>1059</v>
      </c>
      <c r="F14" s="8">
        <v>5.4528521016661453E-2</v>
      </c>
      <c r="G14" s="8">
        <v>5.0923254472013846E-2</v>
      </c>
    </row>
    <row r="15" spans="1:18">
      <c r="A15" t="s">
        <v>420</v>
      </c>
      <c r="B15">
        <v>2013</v>
      </c>
      <c r="C15" t="s">
        <v>411</v>
      </c>
      <c r="D15">
        <v>207108</v>
      </c>
      <c r="E15">
        <v>468</v>
      </c>
      <c r="F15" s="8">
        <v>4.6256309465314692E-2</v>
      </c>
      <c r="G15" s="8">
        <v>2.2504327755337564E-2</v>
      </c>
      <c r="I15" s="40"/>
    </row>
    <row r="16" spans="1:18">
      <c r="A16" t="s">
        <v>421</v>
      </c>
      <c r="B16">
        <v>2013</v>
      </c>
      <c r="C16" t="s">
        <v>411</v>
      </c>
      <c r="D16">
        <v>421527</v>
      </c>
      <c r="E16">
        <v>189</v>
      </c>
      <c r="F16" s="8">
        <v>9.4145486219681065E-2</v>
      </c>
      <c r="G16" s="8">
        <v>9.0882862088863241E-3</v>
      </c>
      <c r="I16" s="114"/>
      <c r="J16" s="114"/>
      <c r="K16" s="114"/>
      <c r="L16" s="114"/>
      <c r="M16" s="114"/>
      <c r="N16" s="114"/>
      <c r="O16" s="114"/>
      <c r="P16" s="114"/>
      <c r="Q16" s="114"/>
      <c r="R16" s="114"/>
    </row>
    <row r="17" spans="1:18">
      <c r="A17" t="s">
        <v>410</v>
      </c>
      <c r="B17">
        <v>2018</v>
      </c>
      <c r="C17" t="s">
        <v>411</v>
      </c>
      <c r="D17">
        <v>665673</v>
      </c>
      <c r="E17">
        <v>2937</v>
      </c>
      <c r="F17" s="8">
        <v>0.13484169586971054</v>
      </c>
      <c r="G17" s="8">
        <v>9.4845960085254796E-2</v>
      </c>
      <c r="I17" s="114"/>
      <c r="J17" s="114"/>
      <c r="K17" s="114"/>
      <c r="L17" s="114"/>
      <c r="M17" s="114"/>
      <c r="N17" s="114"/>
      <c r="O17" s="114"/>
      <c r="P17" s="114"/>
      <c r="Q17" s="114"/>
      <c r="R17" s="114"/>
    </row>
    <row r="18" spans="1:18">
      <c r="A18" t="s">
        <v>412</v>
      </c>
      <c r="B18">
        <v>2018</v>
      </c>
      <c r="C18" t="s">
        <v>411</v>
      </c>
      <c r="D18">
        <v>366198</v>
      </c>
      <c r="E18">
        <v>3975</v>
      </c>
      <c r="F18" s="8">
        <v>7.4178702372029892E-2</v>
      </c>
      <c r="G18" s="8">
        <v>0.12836659562100369</v>
      </c>
      <c r="I18" s="114"/>
      <c r="J18" s="115"/>
      <c r="K18" s="114"/>
      <c r="L18" s="114"/>
      <c r="M18" s="114"/>
      <c r="N18" s="114"/>
      <c r="O18" s="114"/>
      <c r="P18" s="114"/>
      <c r="Q18" s="114"/>
      <c r="R18" s="114"/>
    </row>
    <row r="19" spans="1:18">
      <c r="A19" t="s">
        <v>413</v>
      </c>
      <c r="B19">
        <v>2018</v>
      </c>
      <c r="C19" t="s">
        <v>411</v>
      </c>
      <c r="D19">
        <v>332022</v>
      </c>
      <c r="E19">
        <v>3939</v>
      </c>
      <c r="F19" s="8">
        <v>6.7255859177183144E-2</v>
      </c>
      <c r="G19" s="8">
        <v>0.12720403022670027</v>
      </c>
      <c r="I19" s="114"/>
      <c r="J19" s="114"/>
      <c r="K19" s="114"/>
      <c r="L19" s="114"/>
      <c r="M19" s="114"/>
      <c r="N19" s="114"/>
      <c r="O19" s="114"/>
      <c r="P19" s="114"/>
      <c r="Q19" s="114"/>
      <c r="R19" s="114"/>
    </row>
    <row r="20" spans="1:18">
      <c r="A20" t="s">
        <v>414</v>
      </c>
      <c r="B20">
        <v>2018</v>
      </c>
      <c r="C20" t="s">
        <v>411</v>
      </c>
      <c r="D20">
        <v>305838</v>
      </c>
      <c r="E20">
        <v>3870</v>
      </c>
      <c r="F20" s="8">
        <v>6.1951911195738042E-2</v>
      </c>
      <c r="G20" s="8">
        <v>0.12497577988761868</v>
      </c>
      <c r="I20" s="114"/>
      <c r="J20" s="114"/>
      <c r="K20" s="114"/>
      <c r="L20" s="114"/>
      <c r="M20" s="114"/>
      <c r="N20" s="114"/>
      <c r="O20" s="114"/>
      <c r="P20" s="114"/>
      <c r="Q20" s="114"/>
      <c r="R20" s="114"/>
    </row>
    <row r="21" spans="1:18">
      <c r="A21" t="s">
        <v>415</v>
      </c>
      <c r="B21">
        <v>2018</v>
      </c>
      <c r="C21" t="s">
        <v>411</v>
      </c>
      <c r="D21">
        <v>300603</v>
      </c>
      <c r="E21">
        <v>3735</v>
      </c>
      <c r="F21" s="8">
        <v>6.089148621548808E-2</v>
      </c>
      <c r="G21" s="8">
        <v>0.12061615965898081</v>
      </c>
      <c r="I21" s="114"/>
      <c r="J21" s="114"/>
      <c r="K21" s="114"/>
      <c r="L21" s="114"/>
      <c r="M21" s="114"/>
      <c r="N21" s="114"/>
      <c r="O21" s="114"/>
      <c r="P21" s="114"/>
      <c r="Q21" s="114"/>
      <c r="R21" s="114"/>
    </row>
    <row r="22" spans="1:18">
      <c r="A22" t="s">
        <v>416</v>
      </c>
      <c r="B22">
        <v>2018</v>
      </c>
      <c r="C22" t="s">
        <v>411</v>
      </c>
      <c r="D22">
        <v>331809</v>
      </c>
      <c r="E22">
        <v>3864</v>
      </c>
      <c r="F22" s="8">
        <v>6.7212712945895037E-2</v>
      </c>
      <c r="G22" s="8">
        <v>0.12478201898856811</v>
      </c>
      <c r="I22" s="114"/>
      <c r="J22" s="114"/>
      <c r="K22" s="114"/>
      <c r="L22" s="114"/>
      <c r="M22" s="114"/>
      <c r="N22" s="114"/>
      <c r="O22" s="114"/>
      <c r="P22" s="114"/>
      <c r="Q22" s="114"/>
      <c r="R22" s="114"/>
    </row>
    <row r="23" spans="1:18">
      <c r="A23" t="s">
        <v>417</v>
      </c>
      <c r="B23">
        <v>2018</v>
      </c>
      <c r="C23" t="s">
        <v>411</v>
      </c>
      <c r="D23">
        <v>321075</v>
      </c>
      <c r="E23">
        <v>3018</v>
      </c>
      <c r="F23" s="8">
        <v>6.5038385966333781E-2</v>
      </c>
      <c r="G23" s="8">
        <v>9.7461732222437508E-2</v>
      </c>
      <c r="I23" s="114"/>
      <c r="J23" s="114"/>
      <c r="K23" s="114"/>
      <c r="L23" s="114"/>
      <c r="M23" s="114"/>
      <c r="N23" s="114"/>
      <c r="O23" s="114"/>
      <c r="P23" s="114"/>
      <c r="Q23" s="114"/>
      <c r="R23" s="114"/>
    </row>
    <row r="24" spans="1:18">
      <c r="A24" t="s">
        <v>418</v>
      </c>
      <c r="B24">
        <v>2018</v>
      </c>
      <c r="C24" t="s">
        <v>411</v>
      </c>
      <c r="D24">
        <v>317859</v>
      </c>
      <c r="E24">
        <v>2565</v>
      </c>
      <c r="F24" s="8">
        <v>6.4386938643223202E-2</v>
      </c>
      <c r="G24" s="8">
        <v>8.2832784344119351E-2</v>
      </c>
      <c r="I24" s="114"/>
      <c r="J24" s="114"/>
      <c r="K24" s="114"/>
      <c r="L24" s="114"/>
      <c r="M24" s="114"/>
      <c r="N24" s="114"/>
      <c r="O24" s="114"/>
      <c r="P24" s="114"/>
      <c r="Q24" s="114"/>
      <c r="R24" s="114"/>
    </row>
    <row r="25" spans="1:18">
      <c r="A25" t="s">
        <v>419</v>
      </c>
      <c r="B25">
        <v>2018</v>
      </c>
      <c r="C25" t="s">
        <v>411</v>
      </c>
      <c r="D25">
        <v>277959</v>
      </c>
      <c r="E25">
        <v>1833</v>
      </c>
      <c r="F25" s="8">
        <v>5.6304616444183359E-2</v>
      </c>
      <c r="G25" s="8">
        <v>5.9193954659949623E-2</v>
      </c>
      <c r="I25" s="114"/>
      <c r="J25" s="114"/>
      <c r="K25" s="114"/>
      <c r="L25" s="114"/>
      <c r="M25" s="114"/>
      <c r="N25" s="114"/>
      <c r="O25" s="114"/>
      <c r="P25" s="114"/>
      <c r="Q25" s="114"/>
      <c r="R25" s="114"/>
    </row>
    <row r="26" spans="1:18">
      <c r="A26" t="s">
        <v>420</v>
      </c>
      <c r="B26">
        <v>2018</v>
      </c>
      <c r="C26" t="s">
        <v>411</v>
      </c>
      <c r="D26">
        <v>244614</v>
      </c>
      <c r="E26">
        <v>762</v>
      </c>
      <c r="F26" s="8">
        <v>4.9550104320700061E-2</v>
      </c>
      <c r="G26" s="8">
        <v>2.4607634179422591E-2</v>
      </c>
      <c r="I26" s="114"/>
      <c r="J26" s="114"/>
      <c r="K26" s="114"/>
      <c r="L26" s="114"/>
      <c r="M26" s="114"/>
      <c r="N26" s="114"/>
      <c r="O26" s="114"/>
      <c r="P26" s="114"/>
      <c r="Q26" s="114"/>
      <c r="R26" s="114"/>
    </row>
    <row r="27" spans="1:18">
      <c r="A27" t="s">
        <v>421</v>
      </c>
      <c r="B27">
        <v>2018</v>
      </c>
      <c r="C27" t="s">
        <v>411</v>
      </c>
      <c r="D27">
        <v>505428</v>
      </c>
      <c r="E27">
        <v>468</v>
      </c>
      <c r="F27" s="8">
        <v>0.10238175299288998</v>
      </c>
      <c r="G27" s="8">
        <v>1.5113350125944584E-2</v>
      </c>
      <c r="I27" s="114"/>
      <c r="J27" s="114"/>
      <c r="K27" s="114"/>
      <c r="L27" s="114"/>
      <c r="M27" s="114"/>
      <c r="N27" s="114"/>
      <c r="O27" s="114"/>
      <c r="P27" s="114"/>
      <c r="Q27" s="114"/>
      <c r="R27" s="114"/>
    </row>
    <row r="28" spans="1:18">
      <c r="A28" t="s">
        <v>410</v>
      </c>
      <c r="B28">
        <v>2023</v>
      </c>
      <c r="C28" t="s">
        <v>411</v>
      </c>
      <c r="D28">
        <v>657678</v>
      </c>
      <c r="E28">
        <v>3381</v>
      </c>
      <c r="F28" s="8">
        <v>0.12496019456214018</v>
      </c>
      <c r="G28" s="8">
        <v>0.1029693924166286</v>
      </c>
      <c r="I28" s="114"/>
      <c r="J28" s="114"/>
      <c r="K28" s="114"/>
      <c r="L28" s="114"/>
      <c r="M28" s="114"/>
      <c r="N28" s="114"/>
      <c r="O28" s="114"/>
      <c r="P28" s="114"/>
      <c r="Q28" s="114"/>
      <c r="R28" s="114"/>
    </row>
    <row r="29" spans="1:18">
      <c r="A29" t="s">
        <v>412</v>
      </c>
      <c r="B29">
        <v>2023</v>
      </c>
      <c r="C29" t="s">
        <v>411</v>
      </c>
      <c r="D29">
        <v>353892</v>
      </c>
      <c r="E29">
        <v>3483</v>
      </c>
      <c r="F29" s="8">
        <v>6.7240219642416069E-2</v>
      </c>
      <c r="G29" s="8">
        <v>0.10607583371402467</v>
      </c>
    </row>
    <row r="30" spans="1:18">
      <c r="A30" t="s">
        <v>413</v>
      </c>
      <c r="B30">
        <v>2023</v>
      </c>
      <c r="C30" t="s">
        <v>411</v>
      </c>
      <c r="D30">
        <v>391416</v>
      </c>
      <c r="E30">
        <v>4668</v>
      </c>
      <c r="F30" s="8">
        <v>7.4369858068438752E-2</v>
      </c>
      <c r="G30" s="8">
        <v>0.14216537231612608</v>
      </c>
    </row>
    <row r="31" spans="1:18">
      <c r="A31" t="s">
        <v>414</v>
      </c>
      <c r="B31">
        <v>2023</v>
      </c>
      <c r="C31" t="s">
        <v>411</v>
      </c>
      <c r="D31">
        <v>357612</v>
      </c>
      <c r="E31">
        <v>4275</v>
      </c>
      <c r="F31" s="8">
        <v>6.7947027417301589E-2</v>
      </c>
      <c r="G31" s="8">
        <v>0.13019643672910006</v>
      </c>
    </row>
    <row r="32" spans="1:18">
      <c r="A32" t="s">
        <v>415</v>
      </c>
      <c r="B32">
        <v>2023</v>
      </c>
      <c r="C32" t="s">
        <v>411</v>
      </c>
      <c r="D32">
        <v>324774</v>
      </c>
      <c r="E32">
        <v>3927</v>
      </c>
      <c r="F32" s="8">
        <v>6.1707738785126635E-2</v>
      </c>
      <c r="G32" s="8">
        <v>0.11959798994974874</v>
      </c>
    </row>
    <row r="33" spans="1:7">
      <c r="A33" t="s">
        <v>416</v>
      </c>
      <c r="B33">
        <v>2023</v>
      </c>
      <c r="C33" t="s">
        <v>411</v>
      </c>
      <c r="D33">
        <v>310494</v>
      </c>
      <c r="E33">
        <v>3495</v>
      </c>
      <c r="F33" s="8">
        <v>5.8994508939598338E-2</v>
      </c>
      <c r="G33" s="8">
        <v>0.10644129739607126</v>
      </c>
    </row>
    <row r="34" spans="1:7">
      <c r="A34" t="s">
        <v>417</v>
      </c>
      <c r="B34">
        <v>2023</v>
      </c>
      <c r="C34" t="s">
        <v>411</v>
      </c>
      <c r="D34">
        <v>333066</v>
      </c>
      <c r="E34">
        <v>3276</v>
      </c>
      <c r="F34" s="8">
        <v>6.3283236115597274E-2</v>
      </c>
      <c r="G34" s="8">
        <v>9.9771585198720883E-2</v>
      </c>
    </row>
    <row r="35" spans="1:7">
      <c r="A35" t="s">
        <v>418</v>
      </c>
      <c r="B35">
        <v>2023</v>
      </c>
      <c r="C35" t="s">
        <v>411</v>
      </c>
      <c r="D35">
        <v>317427</v>
      </c>
      <c r="E35">
        <v>2625</v>
      </c>
      <c r="F35" s="8">
        <v>6.0311793429727728E-2</v>
      </c>
      <c r="G35" s="8">
        <v>7.9945180447693012E-2</v>
      </c>
    </row>
    <row r="36" spans="1:7">
      <c r="A36" t="s">
        <v>419</v>
      </c>
      <c r="B36">
        <v>2023</v>
      </c>
      <c r="C36" t="s">
        <v>411</v>
      </c>
      <c r="D36">
        <v>313293</v>
      </c>
      <c r="E36">
        <v>2064</v>
      </c>
      <c r="F36" s="8">
        <v>5.9526324789572684E-2</v>
      </c>
      <c r="G36" s="8">
        <v>6.2859753312014613E-2</v>
      </c>
    </row>
    <row r="37" spans="1:7">
      <c r="A37" t="s">
        <v>420</v>
      </c>
      <c r="B37">
        <v>2023</v>
      </c>
      <c r="C37" t="s">
        <v>411</v>
      </c>
      <c r="D37">
        <v>269187</v>
      </c>
      <c r="E37">
        <v>1065</v>
      </c>
      <c r="F37" s="8">
        <v>5.1146092607018676E-2</v>
      </c>
      <c r="G37" s="8">
        <v>3.2434901781635453E-2</v>
      </c>
    </row>
    <row r="38" spans="1:7">
      <c r="A38" t="s">
        <v>421</v>
      </c>
      <c r="B38">
        <v>2023</v>
      </c>
      <c r="C38" t="s">
        <v>411</v>
      </c>
      <c r="D38">
        <v>598590</v>
      </c>
      <c r="E38">
        <v>576</v>
      </c>
      <c r="F38" s="8">
        <v>0.11373335106686173</v>
      </c>
      <c r="G38" s="8">
        <v>1.7542256738236638E-2</v>
      </c>
    </row>
    <row r="41" spans="1:7">
      <c r="A41" t="s">
        <v>422</v>
      </c>
      <c r="B41" t="s">
        <v>423</v>
      </c>
      <c r="C41" t="s">
        <v>408</v>
      </c>
      <c r="F41" t="s">
        <v>424</v>
      </c>
      <c r="G41" t="s">
        <v>425</v>
      </c>
    </row>
    <row r="42" spans="1:7">
      <c r="A42" t="s">
        <v>426</v>
      </c>
      <c r="B42">
        <v>632589</v>
      </c>
      <c r="C42">
        <v>0.12667198514031278</v>
      </c>
      <c r="F42">
        <v>3381</v>
      </c>
      <c r="G42">
        <v>0.1029693924166286</v>
      </c>
    </row>
    <row r="43" spans="1:7">
      <c r="A43" t="s">
        <v>412</v>
      </c>
      <c r="B43">
        <v>335715</v>
      </c>
      <c r="C43">
        <v>6.7224826058278134E-2</v>
      </c>
      <c r="F43">
        <v>3483</v>
      </c>
      <c r="G43">
        <v>0.10607583371402467</v>
      </c>
    </row>
    <row r="44" spans="1:7">
      <c r="A44" t="s">
        <v>413</v>
      </c>
      <c r="B44">
        <v>374079</v>
      </c>
      <c r="C44">
        <v>7.4906976772127029E-2</v>
      </c>
      <c r="F44">
        <v>4668</v>
      </c>
      <c r="G44">
        <v>0.14216537231612608</v>
      </c>
    </row>
    <row r="45" spans="1:7">
      <c r="A45" t="s">
        <v>414</v>
      </c>
      <c r="B45">
        <v>345537</v>
      </c>
      <c r="C45">
        <v>6.9191620039912582E-2</v>
      </c>
      <c r="F45">
        <v>4275</v>
      </c>
      <c r="G45">
        <v>0.13019643672910006</v>
      </c>
    </row>
    <row r="46" spans="1:7">
      <c r="A46" t="s">
        <v>415</v>
      </c>
      <c r="B46">
        <v>315765</v>
      </c>
      <c r="C46">
        <v>6.3229963511586301E-2</v>
      </c>
      <c r="F46">
        <v>3927</v>
      </c>
      <c r="G46">
        <v>0.11959798994974874</v>
      </c>
    </row>
    <row r="47" spans="1:7">
      <c r="A47" t="s">
        <v>416</v>
      </c>
      <c r="B47">
        <v>302220</v>
      </c>
      <c r="C47">
        <v>6.0517662098306058E-2</v>
      </c>
      <c r="F47">
        <v>3495</v>
      </c>
      <c r="G47">
        <v>0.10644129739607126</v>
      </c>
    </row>
    <row r="48" spans="1:7">
      <c r="A48" t="s">
        <v>417</v>
      </c>
      <c r="B48">
        <v>322635</v>
      </c>
      <c r="C48">
        <v>6.4605637982552366E-2</v>
      </c>
      <c r="F48">
        <v>3276</v>
      </c>
      <c r="G48">
        <v>9.9771585198720883E-2</v>
      </c>
    </row>
    <row r="49" spans="1:10">
      <c r="A49" t="s">
        <v>418</v>
      </c>
      <c r="B49">
        <v>304074</v>
      </c>
      <c r="C49">
        <v>6.0888913986103889E-2</v>
      </c>
      <c r="F49">
        <v>2625</v>
      </c>
      <c r="G49">
        <v>7.9945180447693012E-2</v>
      </c>
    </row>
    <row r="50" spans="1:10">
      <c r="A50" t="s">
        <v>419</v>
      </c>
      <c r="B50">
        <v>296418</v>
      </c>
      <c r="C50">
        <v>5.9355847938110266E-2</v>
      </c>
      <c r="F50">
        <v>2064</v>
      </c>
      <c r="G50">
        <v>6.2859753312014613E-2</v>
      </c>
    </row>
    <row r="51" spans="1:10">
      <c r="A51" t="s">
        <v>420</v>
      </c>
      <c r="B51">
        <v>252492</v>
      </c>
      <c r="C51">
        <v>5.0559941560867891E-2</v>
      </c>
      <c r="F51">
        <v>1065</v>
      </c>
      <c r="G51">
        <v>3.2434901781635453E-2</v>
      </c>
    </row>
    <row r="52" spans="1:10">
      <c r="A52" t="s">
        <v>427</v>
      </c>
      <c r="B52">
        <v>576093</v>
      </c>
      <c r="C52">
        <v>0.11535901499304954</v>
      </c>
      <c r="F52">
        <v>576</v>
      </c>
      <c r="G52">
        <v>1.7542256738236638E-2</v>
      </c>
    </row>
    <row r="53" spans="1:10">
      <c r="D53" s="114"/>
      <c r="E53" s="114"/>
      <c r="F53" s="114"/>
      <c r="G53" s="114"/>
      <c r="H53" s="114"/>
      <c r="I53" s="114"/>
      <c r="J53" s="114"/>
    </row>
    <row r="54" spans="1:10">
      <c r="D54" s="114"/>
      <c r="E54" s="114"/>
      <c r="F54" s="114"/>
      <c r="G54" s="114"/>
      <c r="H54" s="114"/>
      <c r="I54" s="114"/>
      <c r="J54" s="114"/>
    </row>
    <row r="55" spans="1:10">
      <c r="A55" t="s">
        <v>422</v>
      </c>
      <c r="B55" t="s">
        <v>106</v>
      </c>
      <c r="C55" t="s">
        <v>100</v>
      </c>
      <c r="D55" s="114"/>
      <c r="E55" s="114"/>
      <c r="F55" s="114"/>
      <c r="G55" s="114"/>
      <c r="H55" s="114"/>
      <c r="I55" s="114"/>
      <c r="J55" s="114"/>
    </row>
    <row r="56" spans="1:10">
      <c r="A56" s="123" t="s">
        <v>428</v>
      </c>
      <c r="B56" s="5">
        <v>0.12667198514031278</v>
      </c>
      <c r="C56" s="5">
        <v>0.1029693924166286</v>
      </c>
      <c r="D56" s="114"/>
      <c r="E56" s="114"/>
      <c r="F56" s="114"/>
      <c r="G56" s="114"/>
      <c r="H56" s="114"/>
      <c r="I56" s="114"/>
      <c r="J56" s="114"/>
    </row>
    <row r="57" spans="1:10">
      <c r="A57" t="s">
        <v>429</v>
      </c>
      <c r="B57" s="5">
        <v>6.7224826058278134E-2</v>
      </c>
      <c r="C57" s="5">
        <v>0.10607583371402467</v>
      </c>
      <c r="D57" s="114"/>
      <c r="E57" s="114"/>
      <c r="F57" s="114"/>
      <c r="G57" s="114"/>
      <c r="H57" s="114"/>
      <c r="I57" s="114"/>
      <c r="J57" s="114"/>
    </row>
    <row r="58" spans="1:10">
      <c r="A58" t="s">
        <v>430</v>
      </c>
      <c r="B58" s="5">
        <v>7.4906976772127029E-2</v>
      </c>
      <c r="C58" s="5">
        <v>0.14216537231612608</v>
      </c>
      <c r="D58" s="114"/>
      <c r="E58" s="114"/>
      <c r="F58" s="114"/>
      <c r="G58" s="114"/>
      <c r="H58" s="114"/>
      <c r="I58" s="114"/>
      <c r="J58" s="114"/>
    </row>
    <row r="59" spans="1:10">
      <c r="A59" t="s">
        <v>431</v>
      </c>
      <c r="B59" s="5">
        <v>6.9191620039912582E-2</v>
      </c>
      <c r="C59" s="5">
        <v>0.13019643672910006</v>
      </c>
      <c r="D59" s="114"/>
      <c r="E59" s="114"/>
      <c r="F59" s="114"/>
      <c r="G59" s="114"/>
      <c r="H59" s="114"/>
      <c r="I59" s="114"/>
      <c r="J59" s="114"/>
    </row>
    <row r="60" spans="1:10">
      <c r="A60" t="s">
        <v>432</v>
      </c>
      <c r="B60" s="5">
        <v>6.3229963511586301E-2</v>
      </c>
      <c r="C60" s="5">
        <v>0.11959798994974874</v>
      </c>
      <c r="D60" s="114"/>
      <c r="E60" s="114"/>
      <c r="F60" s="114"/>
      <c r="G60" s="114"/>
      <c r="H60" s="114"/>
      <c r="I60" s="114"/>
      <c r="J60" s="114"/>
    </row>
    <row r="61" spans="1:10">
      <c r="A61" t="s">
        <v>433</v>
      </c>
      <c r="B61" s="5">
        <v>6.0517662098306058E-2</v>
      </c>
      <c r="C61" s="5">
        <v>0.10644129739607126</v>
      </c>
      <c r="D61" s="114"/>
      <c r="E61" s="114"/>
      <c r="F61" s="114"/>
      <c r="G61" s="114"/>
      <c r="H61" s="114"/>
      <c r="I61" s="114"/>
      <c r="J61" s="114"/>
    </row>
    <row r="62" spans="1:10">
      <c r="A62" t="s">
        <v>434</v>
      </c>
      <c r="B62" s="5">
        <v>6.4605637982552366E-2</v>
      </c>
      <c r="C62" s="5">
        <v>9.9771585198720883E-2</v>
      </c>
      <c r="D62" s="114"/>
      <c r="E62" s="114"/>
      <c r="F62" s="114"/>
      <c r="G62" s="114"/>
      <c r="H62" s="114"/>
      <c r="I62" s="114"/>
      <c r="J62" s="114"/>
    </row>
    <row r="63" spans="1:10">
      <c r="A63" t="s">
        <v>435</v>
      </c>
      <c r="B63" s="5">
        <v>6.0888913986103889E-2</v>
      </c>
      <c r="C63" s="5">
        <v>7.9945180447693012E-2</v>
      </c>
      <c r="D63" s="114"/>
      <c r="E63" s="114"/>
      <c r="F63" s="114"/>
      <c r="G63" s="114"/>
      <c r="H63" s="114"/>
      <c r="I63" s="114"/>
      <c r="J63" s="114"/>
    </row>
    <row r="64" spans="1:10">
      <c r="A64" t="s">
        <v>436</v>
      </c>
      <c r="B64" s="5">
        <v>5.9355847938110266E-2</v>
      </c>
      <c r="C64" s="5">
        <v>6.2859753312014613E-2</v>
      </c>
      <c r="D64" s="114"/>
      <c r="E64" s="114"/>
      <c r="F64" s="114"/>
      <c r="G64" s="114"/>
      <c r="H64" s="114"/>
      <c r="I64" s="114"/>
      <c r="J64" s="114"/>
    </row>
    <row r="65" spans="1:10">
      <c r="A65" t="s">
        <v>437</v>
      </c>
      <c r="B65" s="5">
        <v>5.0559941560867891E-2</v>
      </c>
      <c r="C65" s="5">
        <v>3.2434901781635453E-2</v>
      </c>
      <c r="D65" s="114"/>
      <c r="E65" s="114"/>
      <c r="F65" s="114"/>
      <c r="G65" s="114"/>
      <c r="H65" s="114"/>
      <c r="I65" s="114"/>
      <c r="J65" s="114"/>
    </row>
    <row r="66" spans="1:10">
      <c r="A66" t="s">
        <v>438</v>
      </c>
      <c r="B66" s="5">
        <v>0.11535901499304954</v>
      </c>
      <c r="C66" s="5">
        <v>1.7542256738236638E-2</v>
      </c>
      <c r="D66" s="114"/>
      <c r="E66" s="114"/>
      <c r="F66" s="114"/>
      <c r="G66" s="114"/>
      <c r="H66" s="114"/>
      <c r="I66" s="114"/>
      <c r="J66" s="114"/>
    </row>
  </sheetData>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0FD99-7A35-42EE-B6F3-70B2787C1365}">
  <dimension ref="A1:J93"/>
  <sheetViews>
    <sheetView zoomScale="60" zoomScaleNormal="60" workbookViewId="0"/>
  </sheetViews>
  <sheetFormatPr defaultRowHeight="14.65"/>
  <cols>
    <col min="1" max="1" width="12.7109375" customWidth="1"/>
    <col min="2" max="2" width="32.42578125" bestFit="1" customWidth="1"/>
    <col min="3" max="3" width="13.140625" customWidth="1"/>
    <col min="4" max="4" width="18.7109375" customWidth="1"/>
    <col min="5" max="5" width="20.42578125" customWidth="1"/>
    <col min="6" max="6" width="15.7109375" customWidth="1"/>
    <col min="7" max="7" width="12.28515625" bestFit="1" customWidth="1"/>
    <col min="8" max="8" width="21.28515625" bestFit="1" customWidth="1"/>
    <col min="9" max="9" width="20.28515625" customWidth="1"/>
    <col min="10" max="10" width="17" bestFit="1" customWidth="1"/>
  </cols>
  <sheetData>
    <row r="1" spans="1:10" s="98" customFormat="1" ht="20.65">
      <c r="A1" s="98" t="s">
        <v>60</v>
      </c>
    </row>
    <row r="4" spans="1:10">
      <c r="A4" s="17" t="s">
        <v>61</v>
      </c>
    </row>
    <row r="6" spans="1:10">
      <c r="A6" t="s">
        <v>439</v>
      </c>
      <c r="B6" t="s">
        <v>357</v>
      </c>
      <c r="C6" t="s">
        <v>440</v>
      </c>
      <c r="D6" t="s">
        <v>441</v>
      </c>
      <c r="E6" t="s">
        <v>442</v>
      </c>
      <c r="F6" t="s">
        <v>443</v>
      </c>
      <c r="G6" t="s">
        <v>444</v>
      </c>
      <c r="H6" t="s">
        <v>445</v>
      </c>
      <c r="I6" t="s">
        <v>446</v>
      </c>
      <c r="J6" t="s">
        <v>409</v>
      </c>
    </row>
    <row r="7" spans="1:10">
      <c r="A7">
        <v>2013</v>
      </c>
      <c r="B7" t="s">
        <v>363</v>
      </c>
      <c r="C7">
        <v>35898</v>
      </c>
      <c r="D7">
        <v>471711</v>
      </c>
      <c r="G7" s="4">
        <f>Table11[[#This Row],['# Under 5s]]/$C$29</f>
        <v>0.12972820607335292</v>
      </c>
      <c r="H7" s="4">
        <f>Table11[[#This Row],['# General population]]/$C$30</f>
        <v>0.11759264037309677</v>
      </c>
    </row>
    <row r="8" spans="1:10">
      <c r="A8">
        <v>2013</v>
      </c>
      <c r="B8" t="s">
        <v>364</v>
      </c>
      <c r="C8">
        <v>196311</v>
      </c>
      <c r="D8">
        <v>2969397</v>
      </c>
      <c r="G8" s="4">
        <f>Table11[[#This Row],['# Under 5s]]/$C$29</f>
        <v>0.70942876657379195</v>
      </c>
      <c r="H8" s="4">
        <f>Table11[[#This Row],['# General population]]/$C$30</f>
        <v>0.74023975176740087</v>
      </c>
    </row>
    <row r="9" spans="1:10">
      <c r="A9">
        <v>2013</v>
      </c>
      <c r="B9" t="s">
        <v>447</v>
      </c>
      <c r="C9">
        <v>71070</v>
      </c>
      <c r="D9">
        <v>598605</v>
      </c>
      <c r="G9" s="4">
        <f>Table11[[#This Row],['# Under 5s]]/$C$29</f>
        <v>0.25683279307017637</v>
      </c>
      <c r="H9" s="4">
        <f>Table11[[#This Row],['# General population]]/$C$30</f>
        <v>0.14922599322580476</v>
      </c>
    </row>
    <row r="10" spans="1:10">
      <c r="A10">
        <v>2013</v>
      </c>
      <c r="B10" t="s">
        <v>448</v>
      </c>
      <c r="C10">
        <v>4659</v>
      </c>
      <c r="D10">
        <v>46953</v>
      </c>
      <c r="G10" s="4">
        <f>Table11[[#This Row],['# Under 5s]]/$C$29</f>
        <v>1.6836695974587756E-2</v>
      </c>
      <c r="H10" s="4">
        <f>Table11[[#This Row],['# General population]]/$C$30</f>
        <v>1.1704893978385098E-2</v>
      </c>
    </row>
    <row r="11" spans="1:10">
      <c r="A11">
        <v>2013</v>
      </c>
      <c r="B11" t="s">
        <v>449</v>
      </c>
      <c r="C11">
        <v>4392</v>
      </c>
      <c r="D11">
        <v>67746</v>
      </c>
      <c r="G11" s="4">
        <f>Table11[[#This Row],['# Under 5s]]/$C$29</f>
        <v>1.5871811272888909E-2</v>
      </c>
      <c r="H11" s="4">
        <f>Table11[[#This Row],['# General population]]/$C$30</f>
        <v>1.6888372360864625E-2</v>
      </c>
    </row>
    <row r="12" spans="1:10">
      <c r="A12">
        <v>2013</v>
      </c>
      <c r="B12" t="s">
        <v>450</v>
      </c>
      <c r="C12">
        <v>37848</v>
      </c>
      <c r="D12">
        <v>295935</v>
      </c>
      <c r="G12" s="4">
        <f>Table11[[#This Row],['# Under 5s]]/$C$29</f>
        <v>0.1367751168160973</v>
      </c>
      <c r="H12" s="4">
        <f>Table11[[#This Row],['# General population]]/$C$30</f>
        <v>7.3773513928681742E-2</v>
      </c>
    </row>
    <row r="13" spans="1:10">
      <c r="A13">
        <v>2018</v>
      </c>
      <c r="B13" t="s">
        <v>363</v>
      </c>
      <c r="C13">
        <v>53832</v>
      </c>
      <c r="D13">
        <v>707601</v>
      </c>
      <c r="E13">
        <v>460</v>
      </c>
      <c r="G13" s="4">
        <f>Table11[[#This Row],['# Under 5s]]/$C$31</f>
        <v>0.18253023691090156</v>
      </c>
      <c r="H13" s="4">
        <f>Table11[[#This Row],['# General population]]/$C$32</f>
        <v>0.15056125266104298</v>
      </c>
      <c r="I13" s="12">
        <f>Table11[[#This Row],['# Enrolled ECE learners]]/$C$33</f>
        <v>0.1500815660685155</v>
      </c>
    </row>
    <row r="14" spans="1:10">
      <c r="A14">
        <v>2018</v>
      </c>
      <c r="B14" t="s">
        <v>364</v>
      </c>
      <c r="C14">
        <v>194130</v>
      </c>
      <c r="D14">
        <v>3297867</v>
      </c>
      <c r="E14">
        <v>1630</v>
      </c>
      <c r="G14" s="4">
        <f>Table11[[#This Row],['# Under 5s]]/$C$31</f>
        <v>0.65824407214135305</v>
      </c>
      <c r="H14" s="4">
        <f>Table11[[#This Row],['# General population]]/$C$32</f>
        <v>0.70171040830851816</v>
      </c>
      <c r="I14" s="12">
        <f>Table11[[#This Row],['# Enrolled ECE learners]]/$C$33</f>
        <v>0.53181076672104399</v>
      </c>
    </row>
    <row r="15" spans="1:10">
      <c r="A15">
        <v>2018</v>
      </c>
      <c r="B15" t="s">
        <v>447</v>
      </c>
      <c r="C15">
        <v>81207</v>
      </c>
      <c r="D15">
        <v>775842</v>
      </c>
      <c r="E15">
        <v>420</v>
      </c>
      <c r="G15" s="4">
        <f>Table11[[#This Row],['# Under 5s]]/$C$31</f>
        <v>0.2753517043547255</v>
      </c>
      <c r="H15" s="4">
        <f>Table11[[#This Row],['# General population]]/$C$32</f>
        <v>0.16508137126297009</v>
      </c>
      <c r="I15" s="12">
        <f>Table11[[#This Row],['# Enrolled ECE learners]]/$C$33</f>
        <v>0.13703099510603589</v>
      </c>
    </row>
    <row r="16" spans="1:10">
      <c r="A16">
        <v>2018</v>
      </c>
      <c r="B16" t="s">
        <v>448</v>
      </c>
      <c r="C16">
        <v>6528</v>
      </c>
      <c r="D16">
        <v>70347</v>
      </c>
      <c r="E16">
        <v>65</v>
      </c>
      <c r="G16" s="4">
        <f>Table11[[#This Row],['# Under 5s]]/$C$31</f>
        <v>2.2134741167973798E-2</v>
      </c>
      <c r="H16" s="4">
        <f>Table11[[#This Row],['# General population]]/$C$32</f>
        <v>1.4968227067155629E-2</v>
      </c>
      <c r="I16" s="12">
        <f>Table11[[#This Row],['# Enrolled ECE learners]]/$C$33</f>
        <v>2.1207177814029365E-2</v>
      </c>
    </row>
    <row r="17" spans="1:10">
      <c r="A17">
        <v>2018</v>
      </c>
      <c r="B17" t="s">
        <v>449</v>
      </c>
      <c r="C17">
        <v>3426</v>
      </c>
      <c r="D17">
        <v>58059</v>
      </c>
      <c r="E17">
        <v>70</v>
      </c>
      <c r="G17" s="4">
        <f>Table11[[#This Row],['# Under 5s]]/$C$31</f>
        <v>1.1616670226942131E-2</v>
      </c>
      <c r="H17" s="4">
        <f>Table11[[#This Row],['# General population]]/$C$32</f>
        <v>1.235362268884229E-2</v>
      </c>
      <c r="I17" s="12">
        <f>Table11[[#This Row],['# Enrolled ECE learners]]/$C$33</f>
        <v>2.2838499184339316E-2</v>
      </c>
    </row>
    <row r="18" spans="1:10">
      <c r="A18">
        <v>2018</v>
      </c>
      <c r="B18" t="s">
        <v>450</v>
      </c>
      <c r="C18">
        <v>42255</v>
      </c>
      <c r="D18">
        <v>381651</v>
      </c>
      <c r="E18">
        <v>420</v>
      </c>
      <c r="G18" s="4">
        <f>Table11[[#This Row],['# Under 5s]]/$C$31</f>
        <v>0.14327565687082303</v>
      </c>
      <c r="H18" s="4">
        <f>Table11[[#This Row],['# General population]]/$C$32</f>
        <v>8.120657353415231E-2</v>
      </c>
      <c r="I18" s="12">
        <f>Table11[[#This Row],['# Enrolled ECE learners]]/$C$33</f>
        <v>0.13703099510603589</v>
      </c>
    </row>
    <row r="19" spans="1:10">
      <c r="A19">
        <v>2023</v>
      </c>
      <c r="B19" t="s">
        <v>363</v>
      </c>
      <c r="C19">
        <v>59142</v>
      </c>
      <c r="D19">
        <v>861582</v>
      </c>
      <c r="E19">
        <v>1290</v>
      </c>
      <c r="F19">
        <v>7696</v>
      </c>
      <c r="G19" s="4">
        <f>Table11[[#This Row],['# Under 5s]]/$C$34</f>
        <v>0.20507859230825246</v>
      </c>
      <c r="H19" s="4">
        <f>Table11[[#This Row],['# General population]]/$C$35</f>
        <v>0.17252608820760754</v>
      </c>
      <c r="I19" s="12">
        <f>Table11[[#This Row],['# Enrolled ECE learners]]/$C$36</f>
        <v>0.26434426229508196</v>
      </c>
      <c r="J19" s="5" t="e">
        <f>[4]!Table11[[#This Row],['# ECE workforce*]]/$C$37</f>
        <v>#REF!</v>
      </c>
    </row>
    <row r="20" spans="1:10">
      <c r="A20">
        <v>2023</v>
      </c>
      <c r="B20" t="s">
        <v>364</v>
      </c>
      <c r="C20">
        <v>184254</v>
      </c>
      <c r="D20">
        <v>3383748</v>
      </c>
      <c r="E20">
        <v>2390</v>
      </c>
      <c r="F20">
        <v>21847</v>
      </c>
      <c r="G20" s="4">
        <f>Table11[[#This Row],['# Under 5s]]/$C$34</f>
        <v>0.63891229493701174</v>
      </c>
      <c r="H20" s="4">
        <f>Table11[[#This Row],['# General population]]/$C$35</f>
        <v>0.6775731223729321</v>
      </c>
      <c r="I20" s="12">
        <f>Table11[[#This Row],['# Enrolled ECE learners]]/$C$36</f>
        <v>0.48975409836065575</v>
      </c>
      <c r="J20" s="5" t="e">
        <f>[4]!Table11[[#This Row],['# ECE workforce*]]/$C$37</f>
        <v>#REF!</v>
      </c>
    </row>
    <row r="21" spans="1:10">
      <c r="A21">
        <v>2023</v>
      </c>
      <c r="B21" t="s">
        <v>447</v>
      </c>
      <c r="C21">
        <v>85230</v>
      </c>
      <c r="D21">
        <v>887493</v>
      </c>
      <c r="E21">
        <v>455</v>
      </c>
      <c r="F21">
        <v>2875</v>
      </c>
      <c r="G21" s="4">
        <f>Table11[[#This Row],['# Under 5s]]/$C$34</f>
        <v>0.29554036763099584</v>
      </c>
      <c r="H21" s="4">
        <f>Table11[[#This Row],['# General population]]/$C$35</f>
        <v>0.17771459431793402</v>
      </c>
      <c r="I21" s="12">
        <f>Table11[[#This Row],['# Enrolled ECE learners]]/$C$36</f>
        <v>9.3237704918032793E-2</v>
      </c>
      <c r="J21" s="5" t="e">
        <f>[4]!Table11[[#This Row],['# ECE workforce*]]/$C$37</f>
        <v>#REF!</v>
      </c>
    </row>
    <row r="22" spans="1:10">
      <c r="A22">
        <v>2023</v>
      </c>
      <c r="B22" t="s">
        <v>448</v>
      </c>
      <c r="C22">
        <v>7560</v>
      </c>
      <c r="D22">
        <v>92760</v>
      </c>
      <c r="E22">
        <v>140</v>
      </c>
      <c r="F22">
        <v>536</v>
      </c>
      <c r="G22" s="4">
        <f>Table11[[#This Row],['# Under 5s]]/$C$34</f>
        <v>2.6214773897575133E-2</v>
      </c>
      <c r="H22" s="4">
        <f>Table11[[#This Row],['# General population]]/$C$35</f>
        <v>1.8574575539110235E-2</v>
      </c>
      <c r="I22" s="12">
        <f>Table11[[#This Row],['# Enrolled ECE learners]]/$C$36</f>
        <v>2.8688524590163935E-2</v>
      </c>
      <c r="J22" s="5" t="e">
        <f>[4]!Table11[[#This Row],['# ECE workforce*]]/$C$37</f>
        <v>#REF!</v>
      </c>
    </row>
    <row r="23" spans="1:10">
      <c r="A23">
        <v>2023</v>
      </c>
      <c r="B23" t="s">
        <v>449</v>
      </c>
      <c r="C23">
        <v>2685</v>
      </c>
      <c r="D23">
        <v>56136</v>
      </c>
      <c r="E23">
        <v>130</v>
      </c>
      <c r="F23">
        <v>540</v>
      </c>
      <c r="G23" s="4">
        <f>Table11[[#This Row],['# Under 5s]]/$C$34</f>
        <v>9.3104058088610102E-3</v>
      </c>
      <c r="H23" s="4">
        <f>Table11[[#This Row],['# General population]]/$C$35</f>
        <v>1.1240862143849634E-2</v>
      </c>
      <c r="I23" s="12">
        <f>Table11[[#This Row],['# Enrolled ECE learners]]/$C$36</f>
        <v>2.663934426229508E-2</v>
      </c>
      <c r="J23" s="5" t="e">
        <f>[4]!Table11[[#This Row],['# ECE workforce*]]/$C$37</f>
        <v>#REF!</v>
      </c>
    </row>
    <row r="24" spans="1:10">
      <c r="A24">
        <v>2023</v>
      </c>
      <c r="B24" t="s">
        <v>450</v>
      </c>
      <c r="C24">
        <v>44706</v>
      </c>
      <c r="D24">
        <v>442632</v>
      </c>
      <c r="E24">
        <v>475</v>
      </c>
      <c r="F24">
        <v>2343</v>
      </c>
      <c r="G24" s="4">
        <f>Table11[[#This Row],['# Under 5s]]/$C$34</f>
        <v>0.15502085738954946</v>
      </c>
      <c r="H24" s="4">
        <f>Table11[[#This Row],['# General population]]/$C$35</f>
        <v>8.8634125916639078E-2</v>
      </c>
      <c r="I24" s="12">
        <f>Table11[[#This Row],['# Enrolled ECE learners]]/$C$36</f>
        <v>9.7336065573770489E-2</v>
      </c>
      <c r="J24" s="5" t="e">
        <f>[4]!Table11[[#This Row],['# ECE workforce*]]/$C$37</f>
        <v>#REF!</v>
      </c>
    </row>
    <row r="26" spans="1:10">
      <c r="A26" s="13" t="s">
        <v>451</v>
      </c>
    </row>
    <row r="28" spans="1:10">
      <c r="A28" t="s">
        <v>439</v>
      </c>
      <c r="B28" t="s">
        <v>206</v>
      </c>
      <c r="C28" t="s">
        <v>452</v>
      </c>
      <c r="E28" s="41"/>
    </row>
    <row r="29" spans="1:10">
      <c r="A29">
        <v>2013</v>
      </c>
      <c r="B29" t="s">
        <v>453</v>
      </c>
      <c r="C29">
        <v>276717</v>
      </c>
    </row>
    <row r="30" spans="1:10">
      <c r="A30">
        <v>2013</v>
      </c>
      <c r="B30" t="s">
        <v>106</v>
      </c>
      <c r="C30">
        <v>4011399</v>
      </c>
    </row>
    <row r="31" spans="1:10">
      <c r="A31">
        <v>2018</v>
      </c>
      <c r="B31" t="s">
        <v>453</v>
      </c>
      <c r="C31">
        <v>294921</v>
      </c>
    </row>
    <row r="32" spans="1:10">
      <c r="A32">
        <v>2018</v>
      </c>
      <c r="B32" t="s">
        <v>106</v>
      </c>
      <c r="C32">
        <v>4699755</v>
      </c>
    </row>
    <row r="33" spans="1:7">
      <c r="A33">
        <v>2018</v>
      </c>
      <c r="B33" t="s">
        <v>454</v>
      </c>
      <c r="C33">
        <v>3065</v>
      </c>
    </row>
    <row r="34" spans="1:7">
      <c r="A34">
        <v>2023</v>
      </c>
      <c r="B34" t="s">
        <v>453</v>
      </c>
      <c r="C34">
        <v>288387</v>
      </c>
    </row>
    <row r="35" spans="1:7">
      <c r="A35">
        <v>2023</v>
      </c>
      <c r="B35" t="s">
        <v>106</v>
      </c>
      <c r="C35">
        <v>4993923</v>
      </c>
    </row>
    <row r="36" spans="1:7">
      <c r="A36">
        <v>2023</v>
      </c>
      <c r="B36" t="s">
        <v>454</v>
      </c>
      <c r="C36">
        <v>4880</v>
      </c>
    </row>
    <row r="37" spans="1:7">
      <c r="A37">
        <v>2023</v>
      </c>
      <c r="B37" t="s">
        <v>100</v>
      </c>
      <c r="C37">
        <v>33736</v>
      </c>
    </row>
    <row r="39" spans="1:7">
      <c r="A39" t="s">
        <v>455</v>
      </c>
    </row>
    <row r="43" spans="1:7">
      <c r="A43" s="18" t="s">
        <v>456</v>
      </c>
    </row>
    <row r="45" spans="1:7">
      <c r="A45" t="s">
        <v>159</v>
      </c>
      <c r="B45" t="s">
        <v>357</v>
      </c>
      <c r="C45" t="s">
        <v>206</v>
      </c>
      <c r="D45" t="s">
        <v>457</v>
      </c>
      <c r="E45" t="s">
        <v>458</v>
      </c>
      <c r="G45" s="40"/>
    </row>
    <row r="46" spans="1:7">
      <c r="A46">
        <v>2018</v>
      </c>
      <c r="B46" t="s">
        <v>363</v>
      </c>
      <c r="C46" t="s">
        <v>411</v>
      </c>
      <c r="D46">
        <v>707598</v>
      </c>
      <c r="E46" s="4">
        <v>0.15056061432990001</v>
      </c>
    </row>
    <row r="47" spans="1:7">
      <c r="A47">
        <v>2018</v>
      </c>
      <c r="B47" t="s">
        <v>363</v>
      </c>
      <c r="C47" t="s">
        <v>102</v>
      </c>
      <c r="D47">
        <v>460</v>
      </c>
      <c r="E47" s="4">
        <v>0.16576576576576577</v>
      </c>
    </row>
    <row r="48" spans="1:7">
      <c r="A48">
        <v>2023</v>
      </c>
      <c r="B48" t="s">
        <v>363</v>
      </c>
      <c r="C48" t="s">
        <v>411</v>
      </c>
      <c r="D48">
        <v>861576</v>
      </c>
      <c r="E48" s="4">
        <v>0.17252488674739999</v>
      </c>
    </row>
    <row r="49" spans="1:5">
      <c r="A49">
        <v>2023</v>
      </c>
      <c r="B49" t="s">
        <v>363</v>
      </c>
      <c r="C49" t="s">
        <v>100</v>
      </c>
      <c r="D49">
        <v>7696</v>
      </c>
      <c r="E49" s="4">
        <v>0.21</v>
      </c>
    </row>
    <row r="50" spans="1:5">
      <c r="A50">
        <v>2023</v>
      </c>
      <c r="B50" t="s">
        <v>363</v>
      </c>
      <c r="C50" t="s">
        <v>102</v>
      </c>
      <c r="D50">
        <v>1290</v>
      </c>
      <c r="E50" s="4">
        <v>0.28666666666666668</v>
      </c>
    </row>
    <row r="51" spans="1:5">
      <c r="A51">
        <v>2018</v>
      </c>
      <c r="B51" t="s">
        <v>364</v>
      </c>
      <c r="C51" t="s">
        <v>411</v>
      </c>
      <c r="D51">
        <v>3297864</v>
      </c>
      <c r="E51" s="4">
        <v>0.70170976997739998</v>
      </c>
    </row>
    <row r="52" spans="1:5">
      <c r="A52">
        <v>2018</v>
      </c>
      <c r="B52" t="s">
        <v>364</v>
      </c>
      <c r="C52" t="s">
        <v>102</v>
      </c>
      <c r="D52">
        <v>1630</v>
      </c>
      <c r="E52" s="4">
        <v>0.58738738738738738</v>
      </c>
    </row>
    <row r="53" spans="1:5">
      <c r="A53">
        <v>2023</v>
      </c>
      <c r="B53" t="s">
        <v>364</v>
      </c>
      <c r="C53" t="s">
        <v>411</v>
      </c>
      <c r="D53">
        <v>3383742</v>
      </c>
      <c r="E53" s="4">
        <v>0.67757192091270002</v>
      </c>
    </row>
    <row r="54" spans="1:5">
      <c r="A54">
        <v>2023</v>
      </c>
      <c r="B54" t="s">
        <v>364</v>
      </c>
      <c r="C54" t="s">
        <v>100</v>
      </c>
      <c r="D54">
        <v>21847</v>
      </c>
      <c r="E54" s="33">
        <v>0.64758714726108613</v>
      </c>
    </row>
    <row r="55" spans="1:5">
      <c r="A55">
        <v>2023</v>
      </c>
      <c r="B55" t="s">
        <v>364</v>
      </c>
      <c r="C55" t="s">
        <v>102</v>
      </c>
      <c r="D55">
        <v>2390</v>
      </c>
      <c r="E55" s="4">
        <v>0.53111111111111109</v>
      </c>
    </row>
    <row r="56" spans="1:5">
      <c r="A56">
        <v>2018</v>
      </c>
      <c r="B56" t="s">
        <v>447</v>
      </c>
      <c r="C56" t="s">
        <v>411</v>
      </c>
      <c r="D56">
        <v>775836</v>
      </c>
      <c r="E56" s="4">
        <v>0.1650800946007</v>
      </c>
    </row>
    <row r="57" spans="1:5">
      <c r="A57">
        <v>2018</v>
      </c>
      <c r="B57" t="s">
        <v>447</v>
      </c>
      <c r="C57" t="s">
        <v>102</v>
      </c>
      <c r="D57">
        <v>420</v>
      </c>
      <c r="E57" s="4">
        <v>0.15135135135135136</v>
      </c>
    </row>
    <row r="58" spans="1:5">
      <c r="A58">
        <v>2023</v>
      </c>
      <c r="B58" t="s">
        <v>447</v>
      </c>
      <c r="C58" t="s">
        <v>411</v>
      </c>
      <c r="D58">
        <v>887493</v>
      </c>
      <c r="E58" s="4">
        <v>0.17771459431789999</v>
      </c>
    </row>
    <row r="59" spans="1:5">
      <c r="A59">
        <v>2023</v>
      </c>
      <c r="B59" t="s">
        <v>447</v>
      </c>
      <c r="C59" t="s">
        <v>100</v>
      </c>
      <c r="D59">
        <v>2875</v>
      </c>
      <c r="E59" s="4">
        <v>8.5220535926013752E-2</v>
      </c>
    </row>
    <row r="60" spans="1:5">
      <c r="A60">
        <v>2023</v>
      </c>
      <c r="B60" t="s">
        <v>447</v>
      </c>
      <c r="C60" t="s">
        <v>102</v>
      </c>
      <c r="D60">
        <v>455</v>
      </c>
      <c r="E60" s="4">
        <v>0.10111111111111111</v>
      </c>
    </row>
    <row r="61" spans="1:5">
      <c r="A61">
        <v>2018</v>
      </c>
      <c r="B61" t="s">
        <v>366</v>
      </c>
      <c r="C61" t="s">
        <v>411</v>
      </c>
      <c r="D61">
        <v>70332</v>
      </c>
      <c r="E61" s="4">
        <v>1.496503541142E-2</v>
      </c>
    </row>
    <row r="62" spans="1:5">
      <c r="A62">
        <v>2018</v>
      </c>
      <c r="B62" t="s">
        <v>366</v>
      </c>
      <c r="C62" t="s">
        <v>102</v>
      </c>
      <c r="D62">
        <v>65</v>
      </c>
      <c r="E62" s="4">
        <v>2.3423423423423424E-2</v>
      </c>
    </row>
    <row r="63" spans="1:5">
      <c r="A63">
        <v>2023</v>
      </c>
      <c r="B63" t="s">
        <v>366</v>
      </c>
      <c r="C63" t="s">
        <v>411</v>
      </c>
      <c r="D63">
        <v>92760</v>
      </c>
      <c r="E63" s="4">
        <v>1.8574575539110003E-2</v>
      </c>
    </row>
    <row r="64" spans="1:5">
      <c r="A64">
        <v>2023</v>
      </c>
      <c r="B64" t="s">
        <v>366</v>
      </c>
      <c r="C64" t="s">
        <v>100</v>
      </c>
      <c r="D64">
        <v>536</v>
      </c>
      <c r="E64" s="4">
        <v>1.5888072089162913E-2</v>
      </c>
    </row>
    <row r="65" spans="1:7">
      <c r="A65">
        <v>2023</v>
      </c>
      <c r="B65" t="s">
        <v>366</v>
      </c>
      <c r="C65" t="s">
        <v>102</v>
      </c>
      <c r="D65">
        <v>140</v>
      </c>
      <c r="E65" s="4">
        <v>3.111111111111111E-2</v>
      </c>
    </row>
    <row r="66" spans="1:7">
      <c r="A66">
        <v>2018</v>
      </c>
      <c r="B66" t="s">
        <v>449</v>
      </c>
      <c r="C66" t="s">
        <v>411</v>
      </c>
      <c r="D66">
        <v>58053</v>
      </c>
      <c r="E66" s="4">
        <v>1.235234602655E-2</v>
      </c>
    </row>
    <row r="67" spans="1:7">
      <c r="A67">
        <v>2018</v>
      </c>
      <c r="B67" t="s">
        <v>449</v>
      </c>
      <c r="C67" t="s">
        <v>102</v>
      </c>
      <c r="D67">
        <v>70</v>
      </c>
      <c r="E67" s="4">
        <v>2.5225225225225224E-2</v>
      </c>
      <c r="G67" s="40"/>
    </row>
    <row r="68" spans="1:7">
      <c r="A68">
        <v>2023</v>
      </c>
      <c r="B68" t="s">
        <v>449</v>
      </c>
      <c r="C68" t="s">
        <v>411</v>
      </c>
      <c r="D68">
        <v>56133</v>
      </c>
      <c r="E68" s="4">
        <v>1.1240261413720001E-2</v>
      </c>
    </row>
    <row r="69" spans="1:7">
      <c r="A69">
        <v>2023</v>
      </c>
      <c r="B69" t="s">
        <v>449</v>
      </c>
      <c r="C69" t="s">
        <v>100</v>
      </c>
      <c r="D69">
        <v>540</v>
      </c>
      <c r="E69" s="4">
        <v>1.6006639791320845E-2</v>
      </c>
    </row>
    <row r="70" spans="1:7">
      <c r="A70">
        <v>2023</v>
      </c>
      <c r="B70" t="s">
        <v>449</v>
      </c>
      <c r="C70" t="s">
        <v>102</v>
      </c>
      <c r="D70">
        <v>130</v>
      </c>
      <c r="E70" s="4">
        <v>2.8888888888888888E-2</v>
      </c>
      <c r="G70" s="40"/>
    </row>
    <row r="71" spans="1:7">
      <c r="A71">
        <v>2018</v>
      </c>
      <c r="B71" t="s">
        <v>450</v>
      </c>
      <c r="C71" t="s">
        <v>411</v>
      </c>
      <c r="D71">
        <v>381642</v>
      </c>
      <c r="E71" s="4">
        <v>8.1204658540710004E-2</v>
      </c>
    </row>
    <row r="72" spans="1:7">
      <c r="A72">
        <v>2018</v>
      </c>
      <c r="B72" t="s">
        <v>450</v>
      </c>
      <c r="C72" t="s">
        <v>102</v>
      </c>
      <c r="D72">
        <v>420</v>
      </c>
      <c r="E72" s="4">
        <v>0.15135135135135136</v>
      </c>
    </row>
    <row r="73" spans="1:7">
      <c r="A73">
        <v>2023</v>
      </c>
      <c r="B73" t="s">
        <v>450</v>
      </c>
      <c r="C73" t="s">
        <v>411</v>
      </c>
      <c r="D73">
        <v>442632</v>
      </c>
      <c r="E73" s="4">
        <v>8.8634125916639994E-2</v>
      </c>
      <c r="G73" s="40"/>
    </row>
    <row r="74" spans="1:7">
      <c r="A74">
        <v>2023</v>
      </c>
      <c r="B74" t="s">
        <v>450</v>
      </c>
      <c r="C74" t="s">
        <v>100</v>
      </c>
      <c r="D74">
        <v>2343</v>
      </c>
      <c r="E74" s="4">
        <v>6.9451031539008778E-2</v>
      </c>
    </row>
    <row r="75" spans="1:7">
      <c r="A75">
        <v>2023</v>
      </c>
      <c r="B75" t="s">
        <v>450</v>
      </c>
      <c r="C75" t="s">
        <v>102</v>
      </c>
      <c r="D75">
        <v>475</v>
      </c>
      <c r="E75" s="4">
        <v>0.10555555555555556</v>
      </c>
    </row>
    <row r="77" spans="1:7">
      <c r="A77" s="41" t="s">
        <v>459</v>
      </c>
    </row>
    <row r="80" spans="1:7">
      <c r="A80" s="13" t="s">
        <v>451</v>
      </c>
    </row>
    <row r="82" spans="1:3">
      <c r="A82" t="s">
        <v>439</v>
      </c>
      <c r="B82" t="s">
        <v>206</v>
      </c>
      <c r="C82" t="s">
        <v>452</v>
      </c>
    </row>
    <row r="83" spans="1:3">
      <c r="A83">
        <v>2013</v>
      </c>
      <c r="B83" t="s">
        <v>453</v>
      </c>
      <c r="C83">
        <v>276717</v>
      </c>
    </row>
    <row r="84" spans="1:3">
      <c r="A84">
        <v>2013</v>
      </c>
      <c r="B84" t="s">
        <v>106</v>
      </c>
      <c r="C84">
        <v>4011399</v>
      </c>
    </row>
    <row r="85" spans="1:3">
      <c r="A85">
        <v>2018</v>
      </c>
      <c r="B85" t="s">
        <v>453</v>
      </c>
      <c r="C85">
        <v>294921</v>
      </c>
    </row>
    <row r="86" spans="1:3">
      <c r="A86">
        <v>2018</v>
      </c>
      <c r="B86" t="s">
        <v>106</v>
      </c>
      <c r="C86">
        <v>4699755</v>
      </c>
    </row>
    <row r="87" spans="1:3">
      <c r="A87">
        <v>2018</v>
      </c>
      <c r="B87" t="s">
        <v>454</v>
      </c>
      <c r="C87">
        <v>3065</v>
      </c>
    </row>
    <row r="88" spans="1:3">
      <c r="A88">
        <v>2023</v>
      </c>
      <c r="B88" t="s">
        <v>453</v>
      </c>
      <c r="C88">
        <v>288387</v>
      </c>
    </row>
    <row r="89" spans="1:3">
      <c r="A89">
        <v>2023</v>
      </c>
      <c r="B89" t="s">
        <v>106</v>
      </c>
      <c r="C89">
        <v>4993923</v>
      </c>
    </row>
    <row r="90" spans="1:3">
      <c r="A90">
        <v>2023</v>
      </c>
      <c r="B90" t="s">
        <v>454</v>
      </c>
      <c r="C90">
        <v>4880</v>
      </c>
    </row>
    <row r="91" spans="1:3">
      <c r="A91">
        <v>2023</v>
      </c>
      <c r="B91" t="s">
        <v>100</v>
      </c>
      <c r="C91">
        <v>33736</v>
      </c>
    </row>
    <row r="93" spans="1:3">
      <c r="A93" t="s">
        <v>455</v>
      </c>
    </row>
  </sheetData>
  <pageMargins left="0.7" right="0.7" top="0.75" bottom="0.75" header="0.3" footer="0.3"/>
  <tableParts count="4">
    <tablePart r:id="rId1"/>
    <tablePart r:id="rId2"/>
    <tablePart r:id="rId3"/>
    <tablePart r:id="rId4"/>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C8360-E014-4C8E-959B-AF53563B6375}">
  <dimension ref="A1:E26"/>
  <sheetViews>
    <sheetView zoomScale="90" zoomScaleNormal="90" workbookViewId="0"/>
  </sheetViews>
  <sheetFormatPr defaultRowHeight="14.65"/>
  <cols>
    <col min="1" max="3" width="20" customWidth="1"/>
  </cols>
  <sheetData>
    <row r="1" spans="1:5" s="98" customFormat="1" ht="20.65">
      <c r="A1" s="98" t="s">
        <v>64</v>
      </c>
    </row>
    <row r="3" spans="1:5">
      <c r="A3" t="s">
        <v>460</v>
      </c>
    </row>
    <row r="4" spans="1:5">
      <c r="A4" t="s">
        <v>461</v>
      </c>
    </row>
    <row r="6" spans="1:5">
      <c r="A6" t="s">
        <v>462</v>
      </c>
      <c r="B6" t="s">
        <v>106</v>
      </c>
      <c r="C6" t="s">
        <v>100</v>
      </c>
      <c r="E6" s="13"/>
    </row>
    <row r="7" spans="1:5">
      <c r="A7" t="s">
        <v>463</v>
      </c>
      <c r="B7" s="5">
        <v>0.15368362566074004</v>
      </c>
      <c r="C7" s="5">
        <v>4.8155449169248098E-2</v>
      </c>
    </row>
    <row r="8" spans="1:5">
      <c r="A8" t="s">
        <v>464</v>
      </c>
      <c r="B8" s="5">
        <v>0.19600027030273906</v>
      </c>
      <c r="C8" s="5">
        <v>0.10109828217403548</v>
      </c>
    </row>
    <row r="9" spans="1:5">
      <c r="A9" t="s">
        <v>465</v>
      </c>
      <c r="B9" s="5">
        <v>0.21099906895723211</v>
      </c>
      <c r="C9" s="5">
        <v>0.14568666103445038</v>
      </c>
    </row>
    <row r="10" spans="1:5">
      <c r="A10" t="s">
        <v>466</v>
      </c>
      <c r="B10" s="5">
        <v>9.6797663382988952E-2</v>
      </c>
      <c r="C10" s="5">
        <v>0.12475359053787666</v>
      </c>
    </row>
    <row r="11" spans="1:5">
      <c r="A11" t="s">
        <v>467</v>
      </c>
      <c r="B11" s="5">
        <v>0.15269251561749159</v>
      </c>
      <c r="C11" s="5">
        <v>0.41715948559091337</v>
      </c>
    </row>
    <row r="12" spans="1:5">
      <c r="A12" t="s">
        <v>468</v>
      </c>
      <c r="B12" s="5">
        <v>6.0757298173954831E-2</v>
      </c>
      <c r="C12" s="5">
        <v>8.3356800901154604E-2</v>
      </c>
    </row>
    <row r="13" spans="1:5">
      <c r="A13" t="s">
        <v>469</v>
      </c>
      <c r="B13" s="5">
        <v>4.3367071119654016E-2</v>
      </c>
      <c r="C13" s="5">
        <v>4.4776119402985072E-2</v>
      </c>
    </row>
    <row r="14" spans="1:5">
      <c r="A14" t="s">
        <v>470</v>
      </c>
      <c r="B14" s="5">
        <v>1.0022975732820759E-2</v>
      </c>
      <c r="C14" s="5">
        <v>1.8774054257016802E-3</v>
      </c>
    </row>
    <row r="15" spans="1:5">
      <c r="A15" t="s">
        <v>471</v>
      </c>
      <c r="B15" s="5">
        <v>7.5679511052378662E-2</v>
      </c>
      <c r="C15" s="5">
        <v>3.3136205763634657E-2</v>
      </c>
    </row>
    <row r="23" spans="5:5">
      <c r="E23" s="13"/>
    </row>
    <row r="26" spans="5:5">
      <c r="E26" s="13"/>
    </row>
  </sheetData>
  <pageMargins left="0.7" right="0.7" top="0.75" bottom="0.75" header="0.3" footer="0.3"/>
  <pageSetup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D01E5-60FD-423B-BE0D-0D84601BC10A}">
  <dimension ref="A1:S186"/>
  <sheetViews>
    <sheetView zoomScale="70" zoomScaleNormal="70" workbookViewId="0"/>
  </sheetViews>
  <sheetFormatPr defaultRowHeight="14.65"/>
  <cols>
    <col min="1" max="1" width="23.7109375" customWidth="1"/>
    <col min="2" max="3" width="33.85546875" customWidth="1"/>
    <col min="4" max="4" width="35" customWidth="1"/>
    <col min="5" max="5" width="12.42578125" customWidth="1"/>
  </cols>
  <sheetData>
    <row r="1" spans="1:16" s="98" customFormat="1" ht="20.65">
      <c r="A1" s="98" t="s">
        <v>68</v>
      </c>
    </row>
    <row r="3" spans="1:16">
      <c r="A3" t="s">
        <v>472</v>
      </c>
    </row>
    <row r="4" spans="1:16">
      <c r="A4" s="41" t="s">
        <v>473</v>
      </c>
    </row>
    <row r="5" spans="1:16">
      <c r="A5" s="41"/>
    </row>
    <row r="6" spans="1:16">
      <c r="A6" s="61" t="s">
        <v>474</v>
      </c>
      <c r="B6" s="62" t="s">
        <v>159</v>
      </c>
      <c r="C6" s="62" t="s">
        <v>458</v>
      </c>
      <c r="D6" s="62" t="s">
        <v>475</v>
      </c>
      <c r="F6" s="13"/>
    </row>
    <row r="7" spans="1:16">
      <c r="A7" s="63" t="s">
        <v>476</v>
      </c>
      <c r="B7" s="64">
        <v>2016</v>
      </c>
      <c r="C7" s="65">
        <v>0.6271186440677966</v>
      </c>
      <c r="D7" s="66">
        <v>0.5</v>
      </c>
      <c r="P7" s="13" t="s">
        <v>477</v>
      </c>
    </row>
    <row r="8" spans="1:16">
      <c r="A8" s="67" t="s">
        <v>478</v>
      </c>
      <c r="B8" s="68">
        <v>2016</v>
      </c>
      <c r="C8" s="69">
        <v>1</v>
      </c>
      <c r="D8" s="70">
        <v>0.5</v>
      </c>
      <c r="P8" t="s">
        <v>479</v>
      </c>
    </row>
    <row r="9" spans="1:16">
      <c r="A9" s="63" t="s">
        <v>480</v>
      </c>
      <c r="B9" s="64">
        <v>2016</v>
      </c>
      <c r="C9" s="65">
        <v>0.65047359648766212</v>
      </c>
      <c r="D9" s="66">
        <v>0.5</v>
      </c>
    </row>
    <row r="10" spans="1:16">
      <c r="A10" s="67" t="s">
        <v>481</v>
      </c>
      <c r="B10" s="68">
        <v>2016</v>
      </c>
      <c r="C10" s="69">
        <v>0.98162729658792647</v>
      </c>
      <c r="D10" s="70">
        <v>0.5</v>
      </c>
      <c r="P10" s="13" t="s">
        <v>369</v>
      </c>
    </row>
    <row r="11" spans="1:16">
      <c r="A11" s="63" t="s">
        <v>482</v>
      </c>
      <c r="B11" s="64">
        <v>2016</v>
      </c>
      <c r="C11" s="65">
        <v>0.9285714285714286</v>
      </c>
      <c r="D11" s="66">
        <v>0.5</v>
      </c>
      <c r="P11" t="s">
        <v>483</v>
      </c>
    </row>
    <row r="12" spans="1:16">
      <c r="A12" s="67" t="s">
        <v>161</v>
      </c>
      <c r="B12" s="68">
        <v>2016</v>
      </c>
      <c r="C12" s="69">
        <v>0.9113987058237929</v>
      </c>
      <c r="D12" s="70">
        <v>0.5</v>
      </c>
    </row>
    <row r="13" spans="1:16">
      <c r="A13" s="64" t="s">
        <v>476</v>
      </c>
      <c r="B13" s="64">
        <v>2018</v>
      </c>
      <c r="C13" s="65">
        <v>0.64583333333333337</v>
      </c>
      <c r="D13" s="66">
        <v>0.5</v>
      </c>
    </row>
    <row r="14" spans="1:16">
      <c r="A14" s="68" t="s">
        <v>478</v>
      </c>
      <c r="B14" s="68">
        <v>2018</v>
      </c>
      <c r="C14" s="69">
        <v>1</v>
      </c>
      <c r="D14" s="70">
        <v>0.5</v>
      </c>
    </row>
    <row r="15" spans="1:16">
      <c r="A15" s="64" t="s">
        <v>480</v>
      </c>
      <c r="B15" s="64">
        <v>2018</v>
      </c>
      <c r="C15" s="65">
        <v>0.63888151155290818</v>
      </c>
      <c r="D15" s="66">
        <v>0.5</v>
      </c>
    </row>
    <row r="16" spans="1:16">
      <c r="A16" s="68" t="s">
        <v>481</v>
      </c>
      <c r="B16" s="68">
        <v>2018</v>
      </c>
      <c r="C16" s="69">
        <v>0.96637608966376087</v>
      </c>
      <c r="D16" s="70">
        <v>0.5</v>
      </c>
    </row>
    <row r="17" spans="1:4">
      <c r="A17" s="64" t="s">
        <v>482</v>
      </c>
      <c r="B17" s="64">
        <v>2018</v>
      </c>
      <c r="C17" s="65">
        <v>0.953125</v>
      </c>
      <c r="D17" s="66">
        <v>0.5</v>
      </c>
    </row>
    <row r="18" spans="1:4">
      <c r="A18" s="68" t="s">
        <v>161</v>
      </c>
      <c r="B18" s="68">
        <v>2018</v>
      </c>
      <c r="C18" s="69">
        <v>0.90669567319313515</v>
      </c>
      <c r="D18" s="70">
        <v>0.5</v>
      </c>
    </row>
    <row r="19" spans="1:4">
      <c r="A19" s="64" t="s">
        <v>476</v>
      </c>
      <c r="B19" s="64">
        <v>2020</v>
      </c>
      <c r="C19" s="65">
        <v>0.78947368421052633</v>
      </c>
      <c r="D19" s="66">
        <v>0.5</v>
      </c>
    </row>
    <row r="20" spans="1:4">
      <c r="A20" s="68" t="s">
        <v>478</v>
      </c>
      <c r="B20" s="68">
        <v>2020</v>
      </c>
      <c r="C20" s="69">
        <v>1</v>
      </c>
      <c r="D20" s="70">
        <v>0.5</v>
      </c>
    </row>
    <row r="21" spans="1:4">
      <c r="A21" s="64" t="s">
        <v>480</v>
      </c>
      <c r="B21" s="64">
        <v>2020</v>
      </c>
      <c r="C21" s="65">
        <v>0.67239215686274512</v>
      </c>
      <c r="D21" s="66">
        <v>0.5</v>
      </c>
    </row>
    <row r="22" spans="1:4">
      <c r="A22" s="68" t="s">
        <v>481</v>
      </c>
      <c r="B22" s="68">
        <v>2020</v>
      </c>
      <c r="C22" s="69">
        <v>0.99735799207397624</v>
      </c>
      <c r="D22" s="70">
        <v>0.5</v>
      </c>
    </row>
    <row r="23" spans="1:4">
      <c r="A23" s="64" t="s">
        <v>482</v>
      </c>
      <c r="B23" s="64">
        <v>2020</v>
      </c>
      <c r="C23" s="65">
        <v>0.971830985915493</v>
      </c>
      <c r="D23" s="66">
        <v>0.5</v>
      </c>
    </row>
    <row r="24" spans="1:4">
      <c r="A24" s="68" t="s">
        <v>161</v>
      </c>
      <c r="B24" s="68">
        <v>2020</v>
      </c>
      <c r="C24" s="69">
        <v>0.93254064547439941</v>
      </c>
      <c r="D24" s="70">
        <v>0.5</v>
      </c>
    </row>
    <row r="25" spans="1:4">
      <c r="A25" s="64" t="s">
        <v>476</v>
      </c>
      <c r="B25" s="64">
        <v>2022</v>
      </c>
      <c r="C25" s="65">
        <v>0.74285714285714288</v>
      </c>
      <c r="D25" s="66">
        <v>0.5</v>
      </c>
    </row>
    <row r="26" spans="1:4">
      <c r="A26" s="68" t="s">
        <v>478</v>
      </c>
      <c r="B26" s="68">
        <v>2022</v>
      </c>
      <c r="C26" s="69">
        <v>1</v>
      </c>
      <c r="D26" s="70">
        <v>0.5</v>
      </c>
    </row>
    <row r="27" spans="1:4">
      <c r="A27" s="64" t="s">
        <v>480</v>
      </c>
      <c r="B27" s="64">
        <v>2022</v>
      </c>
      <c r="C27" s="65">
        <v>0.64900518247381578</v>
      </c>
      <c r="D27" s="66">
        <v>0.5</v>
      </c>
    </row>
    <row r="28" spans="1:4">
      <c r="A28" s="68" t="s">
        <v>481</v>
      </c>
      <c r="B28" s="68">
        <v>2022</v>
      </c>
      <c r="C28" s="69">
        <v>0.99874371859296485</v>
      </c>
      <c r="D28" s="70">
        <v>0.5</v>
      </c>
    </row>
    <row r="29" spans="1:4">
      <c r="A29" s="64" t="s">
        <v>482</v>
      </c>
      <c r="B29" s="64">
        <v>2022</v>
      </c>
      <c r="C29" s="65">
        <v>0.93333333333333335</v>
      </c>
      <c r="D29" s="66">
        <v>0.5</v>
      </c>
    </row>
    <row r="30" spans="1:4">
      <c r="A30" s="68" t="s">
        <v>161</v>
      </c>
      <c r="B30" s="68">
        <v>2022</v>
      </c>
      <c r="C30" s="69">
        <v>0.9328140214216164</v>
      </c>
      <c r="D30" s="70">
        <v>0.5</v>
      </c>
    </row>
    <row r="31" spans="1:4">
      <c r="A31" s="64" t="s">
        <v>476</v>
      </c>
      <c r="B31" s="64">
        <v>2024</v>
      </c>
      <c r="C31" s="65">
        <v>0.51515151515151514</v>
      </c>
      <c r="D31" s="66">
        <v>0.5</v>
      </c>
    </row>
    <row r="32" spans="1:4">
      <c r="A32" s="68" t="s">
        <v>478</v>
      </c>
      <c r="B32" s="68">
        <v>2024</v>
      </c>
      <c r="C32" s="69">
        <v>1</v>
      </c>
      <c r="D32" s="70">
        <v>0.5</v>
      </c>
    </row>
    <row r="33" spans="1:19">
      <c r="A33" s="64" t="s">
        <v>480</v>
      </c>
      <c r="B33" s="64">
        <v>2024</v>
      </c>
      <c r="C33" s="65">
        <v>0.67169865062128387</v>
      </c>
      <c r="D33" s="66">
        <v>0.5</v>
      </c>
    </row>
    <row r="34" spans="1:19">
      <c r="A34" s="68" t="s">
        <v>481</v>
      </c>
      <c r="B34" s="68">
        <v>2024</v>
      </c>
      <c r="C34" s="69">
        <v>1</v>
      </c>
      <c r="D34" s="70">
        <v>0.5</v>
      </c>
    </row>
    <row r="35" spans="1:19">
      <c r="A35" s="64" t="s">
        <v>482</v>
      </c>
      <c r="B35" s="64">
        <v>2024</v>
      </c>
      <c r="C35" s="65">
        <v>0.956989247311828</v>
      </c>
      <c r="D35" s="66">
        <v>0.5</v>
      </c>
    </row>
    <row r="36" spans="1:19">
      <c r="A36" s="71" t="s">
        <v>161</v>
      </c>
      <c r="B36" s="71">
        <v>2024</v>
      </c>
      <c r="C36" s="72">
        <v>0.91930898753553469</v>
      </c>
      <c r="D36" s="73">
        <v>0.5</v>
      </c>
    </row>
    <row r="38" spans="1:19">
      <c r="A38" s="41"/>
    </row>
    <row r="39" spans="1:19">
      <c r="A39" s="41"/>
    </row>
    <row r="40" spans="1:19">
      <c r="A40" s="41"/>
    </row>
    <row r="41" spans="1:19">
      <c r="A41" s="41"/>
    </row>
    <row r="42" spans="1:19" s="117" customFormat="1">
      <c r="A42" s="117" t="s">
        <v>484</v>
      </c>
    </row>
    <row r="43" spans="1:19">
      <c r="A43" s="135" t="s">
        <v>474</v>
      </c>
      <c r="B43" s="133">
        <v>2016</v>
      </c>
      <c r="C43" s="134"/>
      <c r="D43" s="133">
        <v>2017</v>
      </c>
      <c r="E43" s="134"/>
      <c r="F43" s="133">
        <v>2018</v>
      </c>
      <c r="G43" s="134"/>
      <c r="H43" s="133">
        <v>2019</v>
      </c>
      <c r="I43" s="134"/>
      <c r="J43" s="133">
        <v>2020</v>
      </c>
      <c r="K43" s="134"/>
      <c r="L43" s="133">
        <v>2021</v>
      </c>
      <c r="M43" s="134"/>
      <c r="N43" s="133">
        <v>2022</v>
      </c>
      <c r="O43" s="134"/>
      <c r="P43" s="133">
        <v>2023</v>
      </c>
      <c r="Q43" s="134"/>
      <c r="R43" s="133">
        <v>2024</v>
      </c>
      <c r="S43" s="134"/>
    </row>
    <row r="44" spans="1:19">
      <c r="A44" s="136"/>
      <c r="B44" s="46" t="s">
        <v>485</v>
      </c>
      <c r="C44" s="46" t="s">
        <v>486</v>
      </c>
      <c r="D44" s="46" t="s">
        <v>485</v>
      </c>
      <c r="E44" s="46" t="s">
        <v>486</v>
      </c>
      <c r="F44" s="46" t="s">
        <v>485</v>
      </c>
      <c r="G44" s="46" t="s">
        <v>486</v>
      </c>
      <c r="H44" s="46" t="s">
        <v>485</v>
      </c>
      <c r="I44" s="46" t="s">
        <v>486</v>
      </c>
      <c r="J44" s="46" t="s">
        <v>485</v>
      </c>
      <c r="K44" s="46" t="s">
        <v>486</v>
      </c>
      <c r="L44" s="46" t="s">
        <v>485</v>
      </c>
      <c r="M44" s="46" t="s">
        <v>486</v>
      </c>
      <c r="N44" s="46" t="s">
        <v>485</v>
      </c>
      <c r="O44" s="46" t="s">
        <v>486</v>
      </c>
      <c r="P44" s="46" t="s">
        <v>485</v>
      </c>
      <c r="Q44" s="46" t="s">
        <v>486</v>
      </c>
      <c r="R44" s="46" t="s">
        <v>485</v>
      </c>
      <c r="S44" s="46" t="s">
        <v>486</v>
      </c>
    </row>
    <row r="45" spans="1:19">
      <c r="A45" s="47" t="s">
        <v>476</v>
      </c>
      <c r="B45" s="48">
        <v>22</v>
      </c>
      <c r="C45" s="48">
        <v>37</v>
      </c>
      <c r="D45" s="48">
        <v>18</v>
      </c>
      <c r="E45" s="48">
        <v>34</v>
      </c>
      <c r="F45" s="48">
        <v>17</v>
      </c>
      <c r="G45" s="48">
        <v>31</v>
      </c>
      <c r="H45" s="48">
        <v>19</v>
      </c>
      <c r="I45" s="48">
        <v>27</v>
      </c>
      <c r="J45" s="48">
        <v>4</v>
      </c>
      <c r="K45" s="48">
        <v>15</v>
      </c>
      <c r="L45" s="48">
        <v>9</v>
      </c>
      <c r="M45" s="48">
        <v>26</v>
      </c>
      <c r="N45" s="48">
        <v>9</v>
      </c>
      <c r="O45" s="48">
        <v>26</v>
      </c>
      <c r="P45" s="48">
        <v>15</v>
      </c>
      <c r="Q45" s="48">
        <v>22</v>
      </c>
      <c r="R45" s="48">
        <v>16</v>
      </c>
      <c r="S45" s="48">
        <v>17</v>
      </c>
    </row>
    <row r="46" spans="1:19">
      <c r="A46" s="47" t="s">
        <v>478</v>
      </c>
      <c r="B46" s="48"/>
      <c r="C46" s="48">
        <v>15</v>
      </c>
      <c r="D46" s="48"/>
      <c r="E46" s="48">
        <v>9</v>
      </c>
      <c r="F46" s="48"/>
      <c r="G46" s="48">
        <v>9</v>
      </c>
      <c r="H46" s="48"/>
      <c r="I46" s="48">
        <v>8</v>
      </c>
      <c r="J46" s="48"/>
      <c r="K46" s="48">
        <v>8</v>
      </c>
      <c r="L46" s="48"/>
      <c r="M46" s="48">
        <v>9</v>
      </c>
      <c r="N46" s="48"/>
      <c r="O46" s="48">
        <v>10</v>
      </c>
      <c r="P46" s="48"/>
      <c r="Q46" s="48">
        <v>12</v>
      </c>
      <c r="R46" s="48"/>
      <c r="S46" s="48">
        <v>12</v>
      </c>
    </row>
    <row r="47" spans="1:19">
      <c r="A47" s="47" t="s">
        <v>480</v>
      </c>
      <c r="B47" s="48">
        <v>8598</v>
      </c>
      <c r="C47" s="48">
        <v>16001</v>
      </c>
      <c r="D47" s="48">
        <v>9229</v>
      </c>
      <c r="E47" s="48">
        <v>16526</v>
      </c>
      <c r="F47" s="48">
        <v>9518</v>
      </c>
      <c r="G47" s="48">
        <v>16839</v>
      </c>
      <c r="H47" s="48">
        <v>10037</v>
      </c>
      <c r="I47" s="48">
        <v>17162</v>
      </c>
      <c r="J47" s="48">
        <v>8354</v>
      </c>
      <c r="K47" s="48">
        <v>17146</v>
      </c>
      <c r="L47" s="49">
        <v>9575</v>
      </c>
      <c r="M47" s="49">
        <v>18228</v>
      </c>
      <c r="N47" s="48">
        <v>9685</v>
      </c>
      <c r="O47" s="48">
        <v>17908</v>
      </c>
      <c r="P47" s="48">
        <v>10117</v>
      </c>
      <c r="Q47" s="48">
        <v>18626</v>
      </c>
      <c r="R47" s="48">
        <v>9221</v>
      </c>
      <c r="S47" s="48">
        <v>18866</v>
      </c>
    </row>
    <row r="48" spans="1:19">
      <c r="A48" s="47" t="s">
        <v>481</v>
      </c>
      <c r="B48" s="48">
        <v>14</v>
      </c>
      <c r="C48" s="48">
        <v>748</v>
      </c>
      <c r="D48" s="48">
        <v>13</v>
      </c>
      <c r="E48" s="48">
        <v>723</v>
      </c>
      <c r="F48" s="48">
        <v>27</v>
      </c>
      <c r="G48" s="48">
        <v>776</v>
      </c>
      <c r="H48" s="48"/>
      <c r="I48" s="48">
        <v>793</v>
      </c>
      <c r="J48" s="48">
        <v>2</v>
      </c>
      <c r="K48" s="48">
        <v>755</v>
      </c>
      <c r="L48" s="49">
        <v>1</v>
      </c>
      <c r="M48" s="49">
        <v>804</v>
      </c>
      <c r="N48" s="48">
        <v>1</v>
      </c>
      <c r="O48" s="48">
        <v>795</v>
      </c>
      <c r="P48" s="48"/>
      <c r="Q48" s="48">
        <v>563</v>
      </c>
      <c r="R48" s="48"/>
      <c r="S48" s="48">
        <v>511</v>
      </c>
    </row>
    <row r="49" spans="1:19">
      <c r="A49" s="47" t="s">
        <v>482</v>
      </c>
      <c r="B49" s="48">
        <v>4</v>
      </c>
      <c r="C49" s="48">
        <v>52</v>
      </c>
      <c r="D49" s="48">
        <v>1</v>
      </c>
      <c r="E49" s="48">
        <v>59</v>
      </c>
      <c r="F49" s="48">
        <v>3</v>
      </c>
      <c r="G49" s="48">
        <v>61</v>
      </c>
      <c r="H49" s="48">
        <v>5</v>
      </c>
      <c r="I49" s="48">
        <v>71</v>
      </c>
      <c r="J49" s="48">
        <v>2</v>
      </c>
      <c r="K49" s="48">
        <v>69</v>
      </c>
      <c r="L49" s="49">
        <v>7</v>
      </c>
      <c r="M49" s="49">
        <v>80</v>
      </c>
      <c r="N49" s="48">
        <v>6</v>
      </c>
      <c r="O49" s="48">
        <v>84</v>
      </c>
      <c r="P49" s="48">
        <v>3</v>
      </c>
      <c r="Q49" s="48">
        <v>91</v>
      </c>
      <c r="R49" s="48">
        <v>4</v>
      </c>
      <c r="S49" s="48">
        <v>89</v>
      </c>
    </row>
    <row r="50" spans="1:19">
      <c r="A50" s="47" t="s">
        <v>161</v>
      </c>
      <c r="B50" s="48">
        <v>356</v>
      </c>
      <c r="C50" s="48">
        <v>3662</v>
      </c>
      <c r="D50" s="48">
        <v>357</v>
      </c>
      <c r="E50" s="48">
        <v>3705</v>
      </c>
      <c r="F50" s="48">
        <v>386</v>
      </c>
      <c r="G50" s="48">
        <v>3751</v>
      </c>
      <c r="H50" s="48">
        <v>237</v>
      </c>
      <c r="I50" s="48">
        <v>3706</v>
      </c>
      <c r="J50" s="48">
        <v>278</v>
      </c>
      <c r="K50" s="48">
        <v>3843</v>
      </c>
      <c r="L50" s="49">
        <v>260</v>
      </c>
      <c r="M50" s="49">
        <v>3986</v>
      </c>
      <c r="N50" s="48">
        <v>276</v>
      </c>
      <c r="O50" s="48">
        <v>3832</v>
      </c>
      <c r="P50" s="48">
        <v>261</v>
      </c>
      <c r="Q50" s="48">
        <v>4026</v>
      </c>
      <c r="R50" s="48">
        <v>369</v>
      </c>
      <c r="S50" s="48">
        <v>4204</v>
      </c>
    </row>
    <row r="51" spans="1:19">
      <c r="A51" s="47" t="s">
        <v>225</v>
      </c>
      <c r="B51" s="50">
        <v>8994</v>
      </c>
      <c r="C51" s="50">
        <v>20515</v>
      </c>
      <c r="D51" s="50">
        <v>9618</v>
      </c>
      <c r="E51" s="50">
        <v>21056</v>
      </c>
      <c r="F51" s="50">
        <v>9951</v>
      </c>
      <c r="G51" s="50">
        <v>21467</v>
      </c>
      <c r="H51" s="50">
        <v>10298</v>
      </c>
      <c r="I51" s="50">
        <v>21767</v>
      </c>
      <c r="J51" s="50">
        <v>8640</v>
      </c>
      <c r="K51" s="50">
        <v>21836</v>
      </c>
      <c r="L51" s="51">
        <v>9852</v>
      </c>
      <c r="M51" s="51">
        <v>23133</v>
      </c>
      <c r="N51" s="51">
        <v>9977</v>
      </c>
      <c r="O51" s="51">
        <v>22655</v>
      </c>
      <c r="P51" s="51">
        <v>10396</v>
      </c>
      <c r="Q51" s="51">
        <v>23340</v>
      </c>
      <c r="R51" s="51">
        <v>9610</v>
      </c>
      <c r="S51" s="51">
        <v>23699</v>
      </c>
    </row>
    <row r="54" spans="1:19" s="117" customFormat="1">
      <c r="A54" s="117" t="s">
        <v>484</v>
      </c>
    </row>
    <row r="55" spans="1:19">
      <c r="A55" s="45" t="s">
        <v>474</v>
      </c>
      <c r="B55" s="52" t="s">
        <v>159</v>
      </c>
      <c r="C55" s="52" t="s">
        <v>487</v>
      </c>
      <c r="D55" s="52" t="s">
        <v>373</v>
      </c>
      <c r="E55" s="52" t="s">
        <v>458</v>
      </c>
      <c r="F55" s="52" t="s">
        <v>475</v>
      </c>
      <c r="H55" t="s">
        <v>488</v>
      </c>
    </row>
    <row r="56" spans="1:19">
      <c r="A56" s="53" t="s">
        <v>476</v>
      </c>
      <c r="B56" s="54">
        <v>2016</v>
      </c>
      <c r="C56" s="54" t="s">
        <v>486</v>
      </c>
      <c r="D56" s="55">
        <v>37</v>
      </c>
      <c r="E56" s="56">
        <f>D56/(B45+C45)</f>
        <v>0.6271186440677966</v>
      </c>
      <c r="F56" s="60">
        <v>0.5</v>
      </c>
    </row>
    <row r="57" spans="1:19">
      <c r="A57" s="53" t="s">
        <v>478</v>
      </c>
      <c r="B57" s="54">
        <v>2016</v>
      </c>
      <c r="C57" s="54" t="s">
        <v>486</v>
      </c>
      <c r="D57" s="55">
        <v>15</v>
      </c>
      <c r="E57" s="56">
        <f t="shared" ref="E57:E61" si="0">D57/(B46+C46)</f>
        <v>1</v>
      </c>
      <c r="F57" s="60">
        <v>0.5</v>
      </c>
    </row>
    <row r="58" spans="1:19">
      <c r="A58" s="53" t="s">
        <v>480</v>
      </c>
      <c r="B58" s="54">
        <v>2016</v>
      </c>
      <c r="C58" s="54" t="s">
        <v>486</v>
      </c>
      <c r="D58" s="55">
        <v>16001</v>
      </c>
      <c r="E58" s="56">
        <f t="shared" si="0"/>
        <v>0.65047359648766212</v>
      </c>
      <c r="F58" s="60">
        <v>0.5</v>
      </c>
    </row>
    <row r="59" spans="1:19">
      <c r="A59" s="53" t="s">
        <v>481</v>
      </c>
      <c r="B59" s="54">
        <v>2016</v>
      </c>
      <c r="C59" s="54" t="s">
        <v>486</v>
      </c>
      <c r="D59" s="55">
        <v>748</v>
      </c>
      <c r="E59" s="56">
        <f t="shared" si="0"/>
        <v>0.98162729658792647</v>
      </c>
      <c r="F59" s="60">
        <v>0.5</v>
      </c>
    </row>
    <row r="60" spans="1:19">
      <c r="A60" s="53" t="s">
        <v>482</v>
      </c>
      <c r="B60" s="54">
        <v>2016</v>
      </c>
      <c r="C60" s="54" t="s">
        <v>486</v>
      </c>
      <c r="D60" s="55">
        <v>52</v>
      </c>
      <c r="E60" s="56">
        <f t="shared" si="0"/>
        <v>0.9285714285714286</v>
      </c>
      <c r="F60" s="60">
        <v>0.5</v>
      </c>
    </row>
    <row r="61" spans="1:19">
      <c r="A61" s="53" t="s">
        <v>161</v>
      </c>
      <c r="B61" s="54">
        <v>2016</v>
      </c>
      <c r="C61" s="54" t="s">
        <v>486</v>
      </c>
      <c r="D61" s="55">
        <v>3662</v>
      </c>
      <c r="E61" s="56">
        <f t="shared" si="0"/>
        <v>0.9113987058237929</v>
      </c>
      <c r="F61" s="60">
        <v>0.5</v>
      </c>
    </row>
    <row r="62" spans="1:19" ht="14.65" hidden="1" customHeight="1">
      <c r="A62" s="53" t="s">
        <v>476</v>
      </c>
      <c r="B62" s="54">
        <v>2016</v>
      </c>
      <c r="C62" s="54" t="s">
        <v>489</v>
      </c>
      <c r="D62" s="55">
        <v>22</v>
      </c>
      <c r="E62" s="56">
        <f>D62/(B45+C45)</f>
        <v>0.3728813559322034</v>
      </c>
      <c r="F62" s="60">
        <v>0.5</v>
      </c>
    </row>
    <row r="63" spans="1:19" ht="14.65" hidden="1" customHeight="1">
      <c r="A63" s="53" t="s">
        <v>478</v>
      </c>
      <c r="B63" s="54">
        <v>2016</v>
      </c>
      <c r="C63" s="54" t="s">
        <v>489</v>
      </c>
      <c r="D63" s="55"/>
      <c r="E63" s="56">
        <f t="shared" ref="E63:E67" si="1">D63/(B46+C46)</f>
        <v>0</v>
      </c>
      <c r="F63" s="60">
        <v>0.5</v>
      </c>
    </row>
    <row r="64" spans="1:19" ht="14.65" hidden="1" customHeight="1">
      <c r="A64" s="53" t="s">
        <v>480</v>
      </c>
      <c r="B64" s="54">
        <v>2016</v>
      </c>
      <c r="C64" s="54" t="s">
        <v>489</v>
      </c>
      <c r="D64" s="55">
        <v>8598</v>
      </c>
      <c r="E64" s="56">
        <f t="shared" si="1"/>
        <v>0.34952640351233788</v>
      </c>
      <c r="F64" s="60">
        <v>0.5</v>
      </c>
    </row>
    <row r="65" spans="1:6" ht="14.65" hidden="1" customHeight="1">
      <c r="A65" s="53" t="s">
        <v>481</v>
      </c>
      <c r="B65" s="54">
        <v>2016</v>
      </c>
      <c r="C65" s="54" t="s">
        <v>489</v>
      </c>
      <c r="D65" s="55">
        <v>14</v>
      </c>
      <c r="E65" s="56">
        <f t="shared" si="1"/>
        <v>1.8372703412073491E-2</v>
      </c>
      <c r="F65" s="60">
        <v>0.5</v>
      </c>
    </row>
    <row r="66" spans="1:6" ht="14.65" hidden="1" customHeight="1">
      <c r="A66" s="53" t="s">
        <v>482</v>
      </c>
      <c r="B66" s="54">
        <v>2016</v>
      </c>
      <c r="C66" s="54" t="s">
        <v>489</v>
      </c>
      <c r="D66" s="55">
        <v>4</v>
      </c>
      <c r="E66" s="56">
        <f t="shared" si="1"/>
        <v>7.1428571428571425E-2</v>
      </c>
      <c r="F66" s="60">
        <v>0.5</v>
      </c>
    </row>
    <row r="67" spans="1:6" ht="14.65" hidden="1" customHeight="1">
      <c r="A67" s="53" t="s">
        <v>161</v>
      </c>
      <c r="B67" s="54">
        <v>2016</v>
      </c>
      <c r="C67" s="54" t="s">
        <v>489</v>
      </c>
      <c r="D67" s="55">
        <v>356</v>
      </c>
      <c r="E67" s="56">
        <f t="shared" si="1"/>
        <v>8.8601294176207074E-2</v>
      </c>
      <c r="F67" s="60">
        <v>0.5</v>
      </c>
    </row>
    <row r="68" spans="1:6">
      <c r="A68" s="54" t="s">
        <v>476</v>
      </c>
      <c r="B68" s="54">
        <v>2017</v>
      </c>
      <c r="C68" s="54" t="s">
        <v>486</v>
      </c>
      <c r="D68" s="55">
        <v>34</v>
      </c>
      <c r="E68" s="56">
        <f>D68/(D45+E45)</f>
        <v>0.65384615384615385</v>
      </c>
      <c r="F68" s="60">
        <v>0.5</v>
      </c>
    </row>
    <row r="69" spans="1:6">
      <c r="A69" s="54" t="s">
        <v>478</v>
      </c>
      <c r="B69" s="54">
        <v>2017</v>
      </c>
      <c r="C69" s="54" t="s">
        <v>486</v>
      </c>
      <c r="D69" s="55">
        <v>9</v>
      </c>
      <c r="E69" s="56">
        <f t="shared" ref="E69:E72" si="2">D69/(D46+E46)</f>
        <v>1</v>
      </c>
      <c r="F69" s="60">
        <v>0.5</v>
      </c>
    </row>
    <row r="70" spans="1:6">
      <c r="A70" s="54" t="s">
        <v>480</v>
      </c>
      <c r="B70" s="54">
        <v>2017</v>
      </c>
      <c r="C70" s="54" t="s">
        <v>486</v>
      </c>
      <c r="D70" s="55">
        <v>16526</v>
      </c>
      <c r="E70" s="56">
        <f t="shared" si="2"/>
        <v>0.64166181324014759</v>
      </c>
      <c r="F70" s="60">
        <v>0.5</v>
      </c>
    </row>
    <row r="71" spans="1:6">
      <c r="A71" s="54" t="s">
        <v>481</v>
      </c>
      <c r="B71" s="54">
        <v>2017</v>
      </c>
      <c r="C71" s="54" t="s">
        <v>486</v>
      </c>
      <c r="D71" s="55">
        <v>723</v>
      </c>
      <c r="E71" s="56">
        <f t="shared" si="2"/>
        <v>0.98233695652173914</v>
      </c>
      <c r="F71" s="60">
        <v>0.5</v>
      </c>
    </row>
    <row r="72" spans="1:6">
      <c r="A72" s="54" t="s">
        <v>482</v>
      </c>
      <c r="B72" s="54">
        <v>2017</v>
      </c>
      <c r="C72" s="54" t="s">
        <v>486</v>
      </c>
      <c r="D72" s="55">
        <v>59</v>
      </c>
      <c r="E72" s="56">
        <f t="shared" si="2"/>
        <v>0.98333333333333328</v>
      </c>
      <c r="F72" s="60">
        <v>0.5</v>
      </c>
    </row>
    <row r="73" spans="1:6">
      <c r="A73" s="54" t="s">
        <v>161</v>
      </c>
      <c r="B73" s="54">
        <v>2017</v>
      </c>
      <c r="C73" s="54" t="s">
        <v>486</v>
      </c>
      <c r="D73" s="55">
        <v>3705</v>
      </c>
      <c r="E73" s="56">
        <f>D73/(D50+E50)</f>
        <v>0.91211225997045786</v>
      </c>
      <c r="F73" s="60">
        <v>0.5</v>
      </c>
    </row>
    <row r="74" spans="1:6" hidden="1">
      <c r="A74" s="54" t="s">
        <v>476</v>
      </c>
      <c r="B74" s="54">
        <v>2017</v>
      </c>
      <c r="C74" s="54" t="s">
        <v>489</v>
      </c>
      <c r="D74" s="55">
        <v>18</v>
      </c>
      <c r="E74" s="56">
        <f t="shared" ref="E74:E79" si="3">D74/(D45+E45)</f>
        <v>0.34615384615384615</v>
      </c>
      <c r="F74" s="60">
        <v>0.5</v>
      </c>
    </row>
    <row r="75" spans="1:6" hidden="1">
      <c r="A75" s="54" t="s">
        <v>478</v>
      </c>
      <c r="B75" s="54">
        <v>2017</v>
      </c>
      <c r="C75" s="54" t="s">
        <v>489</v>
      </c>
      <c r="D75" s="55"/>
      <c r="E75" s="56">
        <f t="shared" si="3"/>
        <v>0</v>
      </c>
      <c r="F75" s="60">
        <v>0.5</v>
      </c>
    </row>
    <row r="76" spans="1:6" hidden="1">
      <c r="A76" s="54" t="s">
        <v>480</v>
      </c>
      <c r="B76" s="54">
        <v>2017</v>
      </c>
      <c r="C76" s="54" t="s">
        <v>489</v>
      </c>
      <c r="D76" s="55">
        <v>9229</v>
      </c>
      <c r="E76" s="56">
        <f t="shared" si="3"/>
        <v>0.35833818675985246</v>
      </c>
      <c r="F76" s="60">
        <v>0.5</v>
      </c>
    </row>
    <row r="77" spans="1:6" hidden="1">
      <c r="A77" s="54" t="s">
        <v>481</v>
      </c>
      <c r="B77" s="54">
        <v>2017</v>
      </c>
      <c r="C77" s="54" t="s">
        <v>489</v>
      </c>
      <c r="D77" s="55">
        <v>13</v>
      </c>
      <c r="E77" s="56">
        <f t="shared" si="3"/>
        <v>1.7663043478260868E-2</v>
      </c>
      <c r="F77" s="60">
        <v>0.5</v>
      </c>
    </row>
    <row r="78" spans="1:6" hidden="1">
      <c r="A78" s="54" t="s">
        <v>482</v>
      </c>
      <c r="B78" s="54">
        <v>2017</v>
      </c>
      <c r="C78" s="54" t="s">
        <v>489</v>
      </c>
      <c r="D78" s="55">
        <v>1</v>
      </c>
      <c r="E78" s="56">
        <f t="shared" si="3"/>
        <v>1.6666666666666666E-2</v>
      </c>
      <c r="F78" s="60">
        <v>0.5</v>
      </c>
    </row>
    <row r="79" spans="1:6" hidden="1">
      <c r="A79" s="54" t="s">
        <v>161</v>
      </c>
      <c r="B79" s="54">
        <v>2017</v>
      </c>
      <c r="C79" s="54" t="s">
        <v>489</v>
      </c>
      <c r="D79" s="55">
        <v>357</v>
      </c>
      <c r="E79" s="56">
        <f t="shared" si="3"/>
        <v>8.7887740029542097E-2</v>
      </c>
      <c r="F79" s="60">
        <v>0.5</v>
      </c>
    </row>
    <row r="80" spans="1:6">
      <c r="A80" s="54" t="s">
        <v>476</v>
      </c>
      <c r="B80" s="54">
        <v>2018</v>
      </c>
      <c r="C80" s="54" t="s">
        <v>486</v>
      </c>
      <c r="D80" s="54">
        <v>31</v>
      </c>
      <c r="E80" s="56">
        <f>Table29[[#This Row],[Number of people]]/(F45+G45)</f>
        <v>0.64583333333333337</v>
      </c>
      <c r="F80" s="60">
        <v>0.5</v>
      </c>
    </row>
    <row r="81" spans="1:6">
      <c r="A81" s="54" t="s">
        <v>478</v>
      </c>
      <c r="B81" s="54">
        <v>2018</v>
      </c>
      <c r="C81" s="54" t="s">
        <v>486</v>
      </c>
      <c r="D81" s="54">
        <v>9</v>
      </c>
      <c r="E81" s="56">
        <f>Table29[[#This Row],[Number of people]]/(F46+G46)</f>
        <v>1</v>
      </c>
      <c r="F81" s="60">
        <v>0.5</v>
      </c>
    </row>
    <row r="82" spans="1:6">
      <c r="A82" s="54" t="s">
        <v>480</v>
      </c>
      <c r="B82" s="54">
        <v>2018</v>
      </c>
      <c r="C82" s="54" t="s">
        <v>486</v>
      </c>
      <c r="D82" s="54">
        <v>16839</v>
      </c>
      <c r="E82" s="56">
        <f>Table29[[#This Row],[Number of people]]/(F47+G47)</f>
        <v>0.63888151155290818</v>
      </c>
      <c r="F82" s="60">
        <v>0.5</v>
      </c>
    </row>
    <row r="83" spans="1:6">
      <c r="A83" s="54" t="s">
        <v>481</v>
      </c>
      <c r="B83" s="54">
        <v>2018</v>
      </c>
      <c r="C83" s="54" t="s">
        <v>486</v>
      </c>
      <c r="D83" s="54">
        <v>776</v>
      </c>
      <c r="E83" s="56">
        <f>Table29[[#This Row],[Number of people]]/(F48+G48)</f>
        <v>0.96637608966376087</v>
      </c>
      <c r="F83" s="60">
        <v>0.5</v>
      </c>
    </row>
    <row r="84" spans="1:6">
      <c r="A84" s="54" t="s">
        <v>482</v>
      </c>
      <c r="B84" s="54">
        <v>2018</v>
      </c>
      <c r="C84" s="54" t="s">
        <v>486</v>
      </c>
      <c r="D84" s="54">
        <v>61</v>
      </c>
      <c r="E84" s="56">
        <f>Table29[[#This Row],[Number of people]]/(F49+G49)</f>
        <v>0.953125</v>
      </c>
      <c r="F84" s="60">
        <v>0.5</v>
      </c>
    </row>
    <row r="85" spans="1:6">
      <c r="A85" s="54" t="s">
        <v>161</v>
      </c>
      <c r="B85" s="54">
        <v>2018</v>
      </c>
      <c r="C85" s="54" t="s">
        <v>486</v>
      </c>
      <c r="D85" s="54">
        <v>3751</v>
      </c>
      <c r="E85" s="56">
        <f>Table29[[#This Row],[Number of people]]/(F50+G50)</f>
        <v>0.90669567319313515</v>
      </c>
      <c r="F85" s="60">
        <v>0.5</v>
      </c>
    </row>
    <row r="86" spans="1:6" hidden="1">
      <c r="A86" s="54" t="s">
        <v>476</v>
      </c>
      <c r="B86" s="54">
        <v>2018</v>
      </c>
      <c r="C86" s="54" t="s">
        <v>489</v>
      </c>
      <c r="D86" s="54">
        <v>17</v>
      </c>
      <c r="E86" s="56">
        <f>Table29[[#This Row],[Number of people]]/(F45+G45)</f>
        <v>0.35416666666666669</v>
      </c>
      <c r="F86" s="60">
        <v>0.5</v>
      </c>
    </row>
    <row r="87" spans="1:6" hidden="1">
      <c r="A87" s="54" t="s">
        <v>478</v>
      </c>
      <c r="B87" s="54">
        <v>2018</v>
      </c>
      <c r="C87" s="54" t="s">
        <v>489</v>
      </c>
      <c r="D87" s="54"/>
      <c r="E87" s="56">
        <f>Table29[[#This Row],[Number of people]]/(F46+G46)</f>
        <v>0</v>
      </c>
      <c r="F87" s="60">
        <v>0.5</v>
      </c>
    </row>
    <row r="88" spans="1:6" hidden="1">
      <c r="A88" s="54" t="s">
        <v>480</v>
      </c>
      <c r="B88" s="54">
        <v>2018</v>
      </c>
      <c r="C88" s="54" t="s">
        <v>489</v>
      </c>
      <c r="D88" s="54">
        <v>9518</v>
      </c>
      <c r="E88" s="56">
        <f>Table29[[#This Row],[Number of people]]/(F47+G47)</f>
        <v>0.36111848844709188</v>
      </c>
      <c r="F88" s="60">
        <v>0.5</v>
      </c>
    </row>
    <row r="89" spans="1:6" hidden="1">
      <c r="A89" s="54" t="s">
        <v>481</v>
      </c>
      <c r="B89" s="54">
        <v>2018</v>
      </c>
      <c r="C89" s="54" t="s">
        <v>489</v>
      </c>
      <c r="D89" s="54">
        <v>27</v>
      </c>
      <c r="E89" s="56">
        <f>Table29[[#This Row],[Number of people]]/(F48+G48)</f>
        <v>3.3623910336239106E-2</v>
      </c>
      <c r="F89" s="60">
        <v>0.5</v>
      </c>
    </row>
    <row r="90" spans="1:6" hidden="1">
      <c r="A90" s="54" t="s">
        <v>482</v>
      </c>
      <c r="B90" s="54">
        <v>2018</v>
      </c>
      <c r="C90" s="54" t="s">
        <v>489</v>
      </c>
      <c r="D90" s="54">
        <v>3</v>
      </c>
      <c r="E90" s="56">
        <f>Table29[[#This Row],[Number of people]]/(F49+G49)</f>
        <v>4.6875E-2</v>
      </c>
      <c r="F90" s="60">
        <v>0.5</v>
      </c>
    </row>
    <row r="91" spans="1:6" hidden="1">
      <c r="A91" s="54" t="s">
        <v>161</v>
      </c>
      <c r="B91" s="54">
        <v>2018</v>
      </c>
      <c r="C91" s="54" t="s">
        <v>489</v>
      </c>
      <c r="D91" s="54">
        <v>386</v>
      </c>
      <c r="E91" s="56">
        <f>Table29[[#This Row],[Number of people]]/(F50+G50)</f>
        <v>9.3304326806864873E-2</v>
      </c>
      <c r="F91" s="60">
        <v>0.5</v>
      </c>
    </row>
    <row r="92" spans="1:6">
      <c r="A92" s="54" t="s">
        <v>476</v>
      </c>
      <c r="B92" s="54">
        <v>2019</v>
      </c>
      <c r="C92" s="54" t="s">
        <v>486</v>
      </c>
      <c r="D92" s="54">
        <v>27</v>
      </c>
      <c r="E92" s="57">
        <f>Table29[[#This Row],[Number of people]]/(H45+I45)</f>
        <v>0.58695652173913049</v>
      </c>
      <c r="F92" s="60">
        <v>0.5</v>
      </c>
    </row>
    <row r="93" spans="1:6">
      <c r="A93" s="54" t="s">
        <v>478</v>
      </c>
      <c r="B93" s="54">
        <v>2019</v>
      </c>
      <c r="C93" s="54" t="s">
        <v>486</v>
      </c>
      <c r="D93" s="54">
        <v>8</v>
      </c>
      <c r="E93" s="57">
        <f>Table29[[#This Row],[Number of people]]/(H46+I46)</f>
        <v>1</v>
      </c>
      <c r="F93" s="60">
        <v>0.5</v>
      </c>
    </row>
    <row r="94" spans="1:6">
      <c r="A94" s="54" t="s">
        <v>480</v>
      </c>
      <c r="B94" s="54">
        <v>2019</v>
      </c>
      <c r="C94" s="54" t="s">
        <v>486</v>
      </c>
      <c r="D94" s="54">
        <v>17162</v>
      </c>
      <c r="E94" s="57">
        <f>Table29[[#This Row],[Number of people]]/(H47+I47)</f>
        <v>0.63097908011323944</v>
      </c>
      <c r="F94" s="60">
        <v>0.5</v>
      </c>
    </row>
    <row r="95" spans="1:6">
      <c r="A95" s="54" t="s">
        <v>481</v>
      </c>
      <c r="B95" s="54">
        <v>2019</v>
      </c>
      <c r="C95" s="54" t="s">
        <v>486</v>
      </c>
      <c r="D95" s="54">
        <v>793</v>
      </c>
      <c r="E95" s="57">
        <f>Table29[[#This Row],[Number of people]]/(H48+I48)</f>
        <v>1</v>
      </c>
      <c r="F95" s="60">
        <v>0.5</v>
      </c>
    </row>
    <row r="96" spans="1:6">
      <c r="A96" s="54" t="s">
        <v>482</v>
      </c>
      <c r="B96" s="54">
        <v>2019</v>
      </c>
      <c r="C96" s="54" t="s">
        <v>486</v>
      </c>
      <c r="D96" s="54">
        <v>71</v>
      </c>
      <c r="E96" s="57">
        <f>Table29[[#This Row],[Number of people]]/(H49+I49)</f>
        <v>0.93421052631578949</v>
      </c>
      <c r="F96" s="60">
        <v>0.5</v>
      </c>
    </row>
    <row r="97" spans="1:6">
      <c r="A97" s="54" t="s">
        <v>161</v>
      </c>
      <c r="B97" s="54">
        <v>2019</v>
      </c>
      <c r="C97" s="54" t="s">
        <v>486</v>
      </c>
      <c r="D97" s="54">
        <v>3706</v>
      </c>
      <c r="E97" s="57">
        <f>Table29[[#This Row],[Number of people]]/(H50+I50)</f>
        <v>0.93989348212021306</v>
      </c>
      <c r="F97" s="60">
        <v>0.5</v>
      </c>
    </row>
    <row r="98" spans="1:6" hidden="1">
      <c r="A98" s="54" t="s">
        <v>476</v>
      </c>
      <c r="B98" s="54">
        <v>2019</v>
      </c>
      <c r="C98" s="54" t="s">
        <v>489</v>
      </c>
      <c r="D98" s="54">
        <v>19</v>
      </c>
      <c r="E98" s="57">
        <f>Table29[[#This Row],[Number of people]]/(H45+I45)</f>
        <v>0.41304347826086957</v>
      </c>
      <c r="F98" s="60">
        <v>0.5</v>
      </c>
    </row>
    <row r="99" spans="1:6" hidden="1">
      <c r="A99" s="54" t="s">
        <v>478</v>
      </c>
      <c r="B99" s="54">
        <v>2019</v>
      </c>
      <c r="C99" s="54" t="s">
        <v>489</v>
      </c>
      <c r="D99" s="54"/>
      <c r="E99" s="57">
        <f>Table29[[#This Row],[Number of people]]/(H46+I46)</f>
        <v>0</v>
      </c>
      <c r="F99" s="60">
        <v>0.5</v>
      </c>
    </row>
    <row r="100" spans="1:6" hidden="1">
      <c r="A100" s="54" t="s">
        <v>480</v>
      </c>
      <c r="B100" s="54">
        <v>2019</v>
      </c>
      <c r="C100" s="54" t="s">
        <v>489</v>
      </c>
      <c r="D100" s="54">
        <v>10037</v>
      </c>
      <c r="E100" s="57">
        <f>Table29[[#This Row],[Number of people]]/(H47+I47)</f>
        <v>0.36902091988676056</v>
      </c>
      <c r="F100" s="60">
        <v>0.5</v>
      </c>
    </row>
    <row r="101" spans="1:6" hidden="1">
      <c r="A101" s="54" t="s">
        <v>481</v>
      </c>
      <c r="B101" s="54">
        <v>2019</v>
      </c>
      <c r="C101" s="54" t="s">
        <v>489</v>
      </c>
      <c r="D101" s="54"/>
      <c r="E101" s="57">
        <f>Table29[[#This Row],[Number of people]]/(H48+I48)</f>
        <v>0</v>
      </c>
      <c r="F101" s="60">
        <v>0.5</v>
      </c>
    </row>
    <row r="102" spans="1:6" hidden="1">
      <c r="A102" s="54" t="s">
        <v>482</v>
      </c>
      <c r="B102" s="54">
        <v>2019</v>
      </c>
      <c r="C102" s="54" t="s">
        <v>489</v>
      </c>
      <c r="D102" s="54">
        <v>5</v>
      </c>
      <c r="E102" s="57">
        <f>Table29[[#This Row],[Number of people]]/(H49+I49)</f>
        <v>6.5789473684210523E-2</v>
      </c>
      <c r="F102" s="60">
        <v>0.5</v>
      </c>
    </row>
    <row r="103" spans="1:6" hidden="1">
      <c r="A103" s="54" t="s">
        <v>161</v>
      </c>
      <c r="B103" s="54">
        <v>2019</v>
      </c>
      <c r="C103" s="54" t="s">
        <v>489</v>
      </c>
      <c r="D103" s="54">
        <v>237</v>
      </c>
      <c r="E103" s="57">
        <f>Table29[[#This Row],[Number of people]]/(H50+I50)</f>
        <v>6.0106517879786964E-2</v>
      </c>
      <c r="F103" s="60">
        <v>0.5</v>
      </c>
    </row>
    <row r="104" spans="1:6">
      <c r="A104" s="54" t="s">
        <v>476</v>
      </c>
      <c r="B104" s="54">
        <v>2020</v>
      </c>
      <c r="C104" s="54" t="s">
        <v>486</v>
      </c>
      <c r="D104" s="54">
        <v>15</v>
      </c>
      <c r="E104" s="57">
        <f>Table29[[#This Row],[Number of people]]/(J45+K45)</f>
        <v>0.78947368421052633</v>
      </c>
      <c r="F104" s="60">
        <v>0.5</v>
      </c>
    </row>
    <row r="105" spans="1:6">
      <c r="A105" s="54" t="s">
        <v>478</v>
      </c>
      <c r="B105" s="54">
        <v>2020</v>
      </c>
      <c r="C105" s="54" t="s">
        <v>486</v>
      </c>
      <c r="D105" s="54">
        <v>8</v>
      </c>
      <c r="E105" s="57">
        <f>Table29[[#This Row],[Number of people]]/(J46+K46)</f>
        <v>1</v>
      </c>
      <c r="F105" s="60">
        <v>0.5</v>
      </c>
    </row>
    <row r="106" spans="1:6">
      <c r="A106" s="54" t="s">
        <v>480</v>
      </c>
      <c r="B106" s="54">
        <v>2020</v>
      </c>
      <c r="C106" s="54" t="s">
        <v>486</v>
      </c>
      <c r="D106" s="54">
        <v>17146</v>
      </c>
      <c r="E106" s="57">
        <f>Table29[[#This Row],[Number of people]]/(J47+K47)</f>
        <v>0.67239215686274512</v>
      </c>
      <c r="F106" s="60">
        <v>0.5</v>
      </c>
    </row>
    <row r="107" spans="1:6">
      <c r="A107" s="54" t="s">
        <v>481</v>
      </c>
      <c r="B107" s="54">
        <v>2020</v>
      </c>
      <c r="C107" s="54" t="s">
        <v>486</v>
      </c>
      <c r="D107" s="54">
        <v>755</v>
      </c>
      <c r="E107" s="57">
        <f>Table29[[#This Row],[Number of people]]/(J48+K48)</f>
        <v>0.99735799207397624</v>
      </c>
      <c r="F107" s="60">
        <v>0.5</v>
      </c>
    </row>
    <row r="108" spans="1:6">
      <c r="A108" s="54" t="s">
        <v>482</v>
      </c>
      <c r="B108" s="54">
        <v>2020</v>
      </c>
      <c r="C108" s="54" t="s">
        <v>486</v>
      </c>
      <c r="D108" s="54">
        <v>69</v>
      </c>
      <c r="E108" s="57">
        <f>Table29[[#This Row],[Number of people]]/(J49+K49)</f>
        <v>0.971830985915493</v>
      </c>
      <c r="F108" s="60">
        <v>0.5</v>
      </c>
    </row>
    <row r="109" spans="1:6">
      <c r="A109" s="54" t="s">
        <v>161</v>
      </c>
      <c r="B109" s="54">
        <v>2020</v>
      </c>
      <c r="C109" s="54" t="s">
        <v>486</v>
      </c>
      <c r="D109" s="54">
        <v>3843</v>
      </c>
      <c r="E109" s="57">
        <f>Table29[[#This Row],[Number of people]]/(J50+K50)</f>
        <v>0.93254064547439941</v>
      </c>
      <c r="F109" s="60">
        <v>0.5</v>
      </c>
    </row>
    <row r="110" spans="1:6" hidden="1">
      <c r="A110" s="54" t="s">
        <v>476</v>
      </c>
      <c r="B110" s="54">
        <v>2020</v>
      </c>
      <c r="C110" s="54" t="s">
        <v>489</v>
      </c>
      <c r="D110" s="54">
        <v>4</v>
      </c>
      <c r="E110" s="57">
        <f>Table29[[#This Row],[Number of people]]/(J45+K45)</f>
        <v>0.21052631578947367</v>
      </c>
      <c r="F110" s="60">
        <v>0.5</v>
      </c>
    </row>
    <row r="111" spans="1:6" hidden="1">
      <c r="A111" s="54" t="s">
        <v>478</v>
      </c>
      <c r="B111" s="54">
        <v>2020</v>
      </c>
      <c r="C111" s="54" t="s">
        <v>489</v>
      </c>
      <c r="D111" s="54"/>
      <c r="E111" s="57">
        <f>Table29[[#This Row],[Number of people]]/(J46+K46)</f>
        <v>0</v>
      </c>
      <c r="F111" s="60">
        <v>0.5</v>
      </c>
    </row>
    <row r="112" spans="1:6" hidden="1">
      <c r="A112" s="54" t="s">
        <v>480</v>
      </c>
      <c r="B112" s="54">
        <v>2020</v>
      </c>
      <c r="C112" s="54" t="s">
        <v>489</v>
      </c>
      <c r="D112" s="54">
        <v>8354</v>
      </c>
      <c r="E112" s="57">
        <f>Table29[[#This Row],[Number of people]]/(J47+K47)</f>
        <v>0.32760784313725488</v>
      </c>
      <c r="F112" s="60">
        <v>0.5</v>
      </c>
    </row>
    <row r="113" spans="1:6" hidden="1">
      <c r="A113" s="54" t="s">
        <v>481</v>
      </c>
      <c r="B113" s="54">
        <v>2020</v>
      </c>
      <c r="C113" s="54" t="s">
        <v>489</v>
      </c>
      <c r="D113" s="54">
        <v>2</v>
      </c>
      <c r="E113" s="57">
        <f>Table29[[#This Row],[Number of people]]/(J48+K48)</f>
        <v>2.6420079260237781E-3</v>
      </c>
      <c r="F113" s="60">
        <v>0.5</v>
      </c>
    </row>
    <row r="114" spans="1:6" hidden="1">
      <c r="A114" s="54" t="s">
        <v>482</v>
      </c>
      <c r="B114" s="54">
        <v>2020</v>
      </c>
      <c r="C114" s="54" t="s">
        <v>489</v>
      </c>
      <c r="D114" s="54">
        <v>2</v>
      </c>
      <c r="E114" s="57">
        <f>Table29[[#This Row],[Number of people]]/(J49+K49)</f>
        <v>2.8169014084507043E-2</v>
      </c>
      <c r="F114" s="60">
        <v>0.5</v>
      </c>
    </row>
    <row r="115" spans="1:6" hidden="1">
      <c r="A115" s="54" t="s">
        <v>161</v>
      </c>
      <c r="B115" s="54">
        <v>2020</v>
      </c>
      <c r="C115" s="54" t="s">
        <v>489</v>
      </c>
      <c r="D115" s="54">
        <v>278</v>
      </c>
      <c r="E115" s="57">
        <f>Table29[[#This Row],[Number of people]]/(J50+K50)</f>
        <v>6.7459354525600576E-2</v>
      </c>
      <c r="F115" s="60">
        <v>0.5</v>
      </c>
    </row>
    <row r="116" spans="1:6">
      <c r="A116" s="54" t="s">
        <v>476</v>
      </c>
      <c r="B116" s="54">
        <v>2021</v>
      </c>
      <c r="C116" s="54" t="s">
        <v>486</v>
      </c>
      <c r="D116" s="54">
        <v>26</v>
      </c>
      <c r="E116" s="57">
        <f>Table29[[#This Row],[Number of people]]/(L45+M45)</f>
        <v>0.74285714285714288</v>
      </c>
      <c r="F116" s="60">
        <v>0.5</v>
      </c>
    </row>
    <row r="117" spans="1:6">
      <c r="A117" s="54" t="s">
        <v>478</v>
      </c>
      <c r="B117" s="54">
        <v>2021</v>
      </c>
      <c r="C117" s="54" t="s">
        <v>486</v>
      </c>
      <c r="D117" s="54">
        <v>9</v>
      </c>
      <c r="E117" s="57">
        <f>Table29[[#This Row],[Number of people]]/(L46+M46)</f>
        <v>1</v>
      </c>
      <c r="F117" s="60">
        <v>0.5</v>
      </c>
    </row>
    <row r="118" spans="1:6">
      <c r="A118" s="54" t="s">
        <v>480</v>
      </c>
      <c r="B118" s="54">
        <v>2021</v>
      </c>
      <c r="C118" s="54" t="s">
        <v>486</v>
      </c>
      <c r="D118" s="54">
        <v>18228</v>
      </c>
      <c r="E118" s="57">
        <f>Table29[[#This Row],[Number of people]]/(L47+M47)</f>
        <v>0.65561270366507207</v>
      </c>
      <c r="F118" s="60">
        <v>0.5</v>
      </c>
    </row>
    <row r="119" spans="1:6">
      <c r="A119" s="54" t="s">
        <v>481</v>
      </c>
      <c r="B119" s="54">
        <v>2021</v>
      </c>
      <c r="C119" s="54" t="s">
        <v>486</v>
      </c>
      <c r="D119" s="54">
        <v>804</v>
      </c>
      <c r="E119" s="57">
        <f>Table29[[#This Row],[Number of people]]/(L48+M48)</f>
        <v>0.99875776397515525</v>
      </c>
      <c r="F119" s="60">
        <v>0.5</v>
      </c>
    </row>
    <row r="120" spans="1:6">
      <c r="A120" s="54" t="s">
        <v>482</v>
      </c>
      <c r="B120" s="54">
        <v>2021</v>
      </c>
      <c r="C120" s="54" t="s">
        <v>486</v>
      </c>
      <c r="D120" s="54">
        <v>80</v>
      </c>
      <c r="E120" s="57">
        <f>Table29[[#This Row],[Number of people]]/(L49+M49)</f>
        <v>0.91954022988505746</v>
      </c>
      <c r="F120" s="60">
        <v>0.5</v>
      </c>
    </row>
    <row r="121" spans="1:6">
      <c r="A121" s="54" t="s">
        <v>161</v>
      </c>
      <c r="B121" s="54">
        <v>2021</v>
      </c>
      <c r="C121" s="54" t="s">
        <v>486</v>
      </c>
      <c r="D121" s="54">
        <v>3986</v>
      </c>
      <c r="E121" s="57">
        <f>Table29[[#This Row],[Number of people]]/(L50+M50)</f>
        <v>0.93876589731512017</v>
      </c>
      <c r="F121" s="60">
        <v>0.5</v>
      </c>
    </row>
    <row r="122" spans="1:6" hidden="1">
      <c r="A122" s="54" t="s">
        <v>476</v>
      </c>
      <c r="B122" s="54">
        <v>2021</v>
      </c>
      <c r="C122" s="54" t="s">
        <v>489</v>
      </c>
      <c r="D122" s="54">
        <v>9</v>
      </c>
      <c r="E122" s="57">
        <f>Table29[[#This Row],[Number of people]]/(L45+M45)</f>
        <v>0.25714285714285712</v>
      </c>
      <c r="F122" s="60">
        <v>0.5</v>
      </c>
    </row>
    <row r="123" spans="1:6" hidden="1">
      <c r="A123" s="54" t="s">
        <v>478</v>
      </c>
      <c r="B123" s="54">
        <v>2021</v>
      </c>
      <c r="C123" s="54" t="s">
        <v>489</v>
      </c>
      <c r="D123" s="54"/>
      <c r="E123" s="57">
        <f>Table29[[#This Row],[Number of people]]/(L46+M46)</f>
        <v>0</v>
      </c>
      <c r="F123" s="60">
        <v>0.5</v>
      </c>
    </row>
    <row r="124" spans="1:6" hidden="1">
      <c r="A124" s="54" t="s">
        <v>480</v>
      </c>
      <c r="B124" s="54">
        <v>2021</v>
      </c>
      <c r="C124" s="54" t="s">
        <v>489</v>
      </c>
      <c r="D124" s="54">
        <v>9575</v>
      </c>
      <c r="E124" s="57">
        <f>Table29[[#This Row],[Number of people]]/(L47+M47)</f>
        <v>0.34438729633492787</v>
      </c>
      <c r="F124" s="60">
        <v>0.5</v>
      </c>
    </row>
    <row r="125" spans="1:6" hidden="1">
      <c r="A125" s="54" t="s">
        <v>481</v>
      </c>
      <c r="B125" s="54">
        <v>2021</v>
      </c>
      <c r="C125" s="54" t="s">
        <v>489</v>
      </c>
      <c r="D125" s="54">
        <v>1</v>
      </c>
      <c r="E125" s="57">
        <f>Table29[[#This Row],[Number of people]]/(L48+M48)</f>
        <v>1.2422360248447205E-3</v>
      </c>
      <c r="F125" s="60">
        <v>0.5</v>
      </c>
    </row>
    <row r="126" spans="1:6" hidden="1">
      <c r="A126" s="54" t="s">
        <v>482</v>
      </c>
      <c r="B126" s="54">
        <v>2021</v>
      </c>
      <c r="C126" s="54" t="s">
        <v>489</v>
      </c>
      <c r="D126" s="54">
        <v>7</v>
      </c>
      <c r="E126" s="57">
        <f>Table29[[#This Row],[Number of people]]/(L49+M49)</f>
        <v>8.0459770114942528E-2</v>
      </c>
      <c r="F126" s="60">
        <v>0.5</v>
      </c>
    </row>
    <row r="127" spans="1:6" hidden="1">
      <c r="A127" s="54" t="s">
        <v>161</v>
      </c>
      <c r="B127" s="54">
        <v>2021</v>
      </c>
      <c r="C127" s="54" t="s">
        <v>489</v>
      </c>
      <c r="D127" s="54">
        <v>260</v>
      </c>
      <c r="E127" s="57">
        <f>Table29[[#This Row],[Number of people]]/(L50+M50)</f>
        <v>6.1234102684879888E-2</v>
      </c>
      <c r="F127" s="60">
        <v>0.5</v>
      </c>
    </row>
    <row r="128" spans="1:6">
      <c r="A128" s="54" t="s">
        <v>476</v>
      </c>
      <c r="B128" s="54">
        <v>2022</v>
      </c>
      <c r="C128" s="54" t="s">
        <v>486</v>
      </c>
      <c r="D128" s="54">
        <v>26</v>
      </c>
      <c r="E128" s="57">
        <f>Table29[[#This Row],[Number of people]]/(N45+O45)</f>
        <v>0.74285714285714288</v>
      </c>
      <c r="F128" s="60">
        <v>0.5</v>
      </c>
    </row>
    <row r="129" spans="1:6">
      <c r="A129" s="54" t="s">
        <v>478</v>
      </c>
      <c r="B129" s="54">
        <v>2022</v>
      </c>
      <c r="C129" s="54" t="s">
        <v>486</v>
      </c>
      <c r="D129" s="54">
        <v>10</v>
      </c>
      <c r="E129" s="57">
        <f>Table29[[#This Row],[Number of people]]/(N46+O46)</f>
        <v>1</v>
      </c>
      <c r="F129" s="60">
        <v>0.5</v>
      </c>
    </row>
    <row r="130" spans="1:6">
      <c r="A130" s="54" t="s">
        <v>480</v>
      </c>
      <c r="B130" s="54">
        <v>2022</v>
      </c>
      <c r="C130" s="54" t="s">
        <v>486</v>
      </c>
      <c r="D130" s="54">
        <v>17908</v>
      </c>
      <c r="E130" s="57">
        <f>Table29[[#This Row],[Number of people]]/(N47+O47)</f>
        <v>0.64900518247381578</v>
      </c>
      <c r="F130" s="60">
        <v>0.5</v>
      </c>
    </row>
    <row r="131" spans="1:6">
      <c r="A131" s="54" t="s">
        <v>481</v>
      </c>
      <c r="B131" s="54">
        <v>2022</v>
      </c>
      <c r="C131" s="54" t="s">
        <v>486</v>
      </c>
      <c r="D131" s="54">
        <v>795</v>
      </c>
      <c r="E131" s="57">
        <f>Table29[[#This Row],[Number of people]]/(N48+O48)</f>
        <v>0.99874371859296485</v>
      </c>
      <c r="F131" s="60">
        <v>0.5</v>
      </c>
    </row>
    <row r="132" spans="1:6">
      <c r="A132" s="54" t="s">
        <v>482</v>
      </c>
      <c r="B132" s="54">
        <v>2022</v>
      </c>
      <c r="C132" s="54" t="s">
        <v>486</v>
      </c>
      <c r="D132" s="54">
        <v>84</v>
      </c>
      <c r="E132" s="57">
        <f>Table29[[#This Row],[Number of people]]/(N49+O49)</f>
        <v>0.93333333333333335</v>
      </c>
      <c r="F132" s="60">
        <v>0.5</v>
      </c>
    </row>
    <row r="133" spans="1:6">
      <c r="A133" s="54" t="s">
        <v>161</v>
      </c>
      <c r="B133" s="54">
        <v>2022</v>
      </c>
      <c r="C133" s="54" t="s">
        <v>486</v>
      </c>
      <c r="D133" s="54">
        <v>3832</v>
      </c>
      <c r="E133" s="57">
        <f>Table29[[#This Row],[Number of people]]/(N50+O50)</f>
        <v>0.9328140214216164</v>
      </c>
      <c r="F133" s="60">
        <v>0.5</v>
      </c>
    </row>
    <row r="134" spans="1:6" hidden="1">
      <c r="A134" s="54" t="s">
        <v>476</v>
      </c>
      <c r="B134" s="54">
        <v>2022</v>
      </c>
      <c r="C134" s="54" t="s">
        <v>489</v>
      </c>
      <c r="D134" s="54">
        <v>9</v>
      </c>
      <c r="E134" s="57">
        <f>Table29[[#This Row],[Number of people]]/(N45+O45)</f>
        <v>0.25714285714285712</v>
      </c>
      <c r="F134" s="60">
        <v>0.5</v>
      </c>
    </row>
    <row r="135" spans="1:6" hidden="1">
      <c r="A135" s="54" t="s">
        <v>478</v>
      </c>
      <c r="B135" s="54">
        <v>2022</v>
      </c>
      <c r="C135" s="54" t="s">
        <v>489</v>
      </c>
      <c r="D135" s="54"/>
      <c r="E135" s="57">
        <f>Table29[[#This Row],[Number of people]]/(N46+O46)</f>
        <v>0</v>
      </c>
      <c r="F135" s="60">
        <v>0.5</v>
      </c>
    </row>
    <row r="136" spans="1:6" hidden="1">
      <c r="A136" s="54" t="s">
        <v>480</v>
      </c>
      <c r="B136" s="54">
        <v>2022</v>
      </c>
      <c r="C136" s="54" t="s">
        <v>489</v>
      </c>
      <c r="D136" s="54">
        <v>9685</v>
      </c>
      <c r="E136" s="57">
        <f>Table29[[#This Row],[Number of people]]/(N47+O47)</f>
        <v>0.35099481752618417</v>
      </c>
      <c r="F136" s="60">
        <v>0.5</v>
      </c>
    </row>
    <row r="137" spans="1:6" hidden="1">
      <c r="A137" s="54" t="s">
        <v>481</v>
      </c>
      <c r="B137" s="54">
        <v>2022</v>
      </c>
      <c r="C137" s="54" t="s">
        <v>489</v>
      </c>
      <c r="D137" s="54">
        <v>1</v>
      </c>
      <c r="E137" s="57">
        <f>Table29[[#This Row],[Number of people]]/(N48+O48)</f>
        <v>1.2562814070351759E-3</v>
      </c>
      <c r="F137" s="60">
        <v>0.5</v>
      </c>
    </row>
    <row r="138" spans="1:6" hidden="1">
      <c r="A138" s="54" t="s">
        <v>482</v>
      </c>
      <c r="B138" s="54">
        <v>2022</v>
      </c>
      <c r="C138" s="54" t="s">
        <v>489</v>
      </c>
      <c r="D138" s="54">
        <v>6</v>
      </c>
      <c r="E138" s="57">
        <f>Table29[[#This Row],[Number of people]]/(N49+O49)</f>
        <v>6.6666666666666666E-2</v>
      </c>
      <c r="F138" s="60">
        <v>0.5</v>
      </c>
    </row>
    <row r="139" spans="1:6" hidden="1">
      <c r="A139" s="54" t="s">
        <v>161</v>
      </c>
      <c r="B139" s="54">
        <v>2022</v>
      </c>
      <c r="C139" s="54" t="s">
        <v>489</v>
      </c>
      <c r="D139" s="54">
        <v>276</v>
      </c>
      <c r="E139" s="57">
        <f>Table29[[#This Row],[Number of people]]/(N50+O50)</f>
        <v>6.718597857838364E-2</v>
      </c>
      <c r="F139" s="60">
        <v>0.5</v>
      </c>
    </row>
    <row r="140" spans="1:6">
      <c r="A140" s="54" t="s">
        <v>476</v>
      </c>
      <c r="B140" s="54">
        <v>2023</v>
      </c>
      <c r="C140" s="54" t="s">
        <v>486</v>
      </c>
      <c r="D140" s="58">
        <v>22</v>
      </c>
      <c r="E140" s="57">
        <f>Table29[[#This Row],[Number of people]]/(P45+Q45)</f>
        <v>0.59459459459459463</v>
      </c>
      <c r="F140" s="60">
        <v>0.5</v>
      </c>
    </row>
    <row r="141" spans="1:6">
      <c r="A141" s="54" t="s">
        <v>478</v>
      </c>
      <c r="B141" s="54">
        <v>2023</v>
      </c>
      <c r="C141" s="54" t="s">
        <v>486</v>
      </c>
      <c r="D141" s="54">
        <v>12</v>
      </c>
      <c r="E141" s="57">
        <f>Table29[[#This Row],[Number of people]]/(P46+Q46)</f>
        <v>1</v>
      </c>
      <c r="F141" s="60">
        <v>0.5</v>
      </c>
    </row>
    <row r="142" spans="1:6">
      <c r="A142" s="54" t="s">
        <v>480</v>
      </c>
      <c r="B142" s="54">
        <v>2023</v>
      </c>
      <c r="C142" s="54" t="s">
        <v>486</v>
      </c>
      <c r="D142" s="54">
        <v>18626</v>
      </c>
      <c r="E142" s="57">
        <f>Table29[[#This Row],[Number of people]]/(P47+Q47)</f>
        <v>0.64801864801864806</v>
      </c>
      <c r="F142" s="60">
        <v>0.5</v>
      </c>
    </row>
    <row r="143" spans="1:6">
      <c r="A143" s="54" t="s">
        <v>481</v>
      </c>
      <c r="B143" s="54">
        <v>2023</v>
      </c>
      <c r="C143" s="54" t="s">
        <v>486</v>
      </c>
      <c r="D143" s="54">
        <v>563</v>
      </c>
      <c r="E143" s="57">
        <f>Table29[[#This Row],[Number of people]]/(P48+Q48)</f>
        <v>1</v>
      </c>
      <c r="F143" s="60">
        <v>0.5</v>
      </c>
    </row>
    <row r="144" spans="1:6">
      <c r="A144" s="54" t="s">
        <v>482</v>
      </c>
      <c r="B144" s="54">
        <v>2023</v>
      </c>
      <c r="C144" s="54" t="s">
        <v>486</v>
      </c>
      <c r="D144" s="54">
        <v>91</v>
      </c>
      <c r="E144" s="57">
        <f>Table29[[#This Row],[Number of people]]/(P49+Q49)</f>
        <v>0.96808510638297873</v>
      </c>
      <c r="F144" s="60">
        <v>0.5</v>
      </c>
    </row>
    <row r="145" spans="1:7">
      <c r="A145" s="54" t="s">
        <v>161</v>
      </c>
      <c r="B145" s="54">
        <v>2023</v>
      </c>
      <c r="C145" s="54" t="s">
        <v>486</v>
      </c>
      <c r="D145" s="54">
        <v>4026</v>
      </c>
      <c r="E145" s="57">
        <f>Table29[[#This Row],[Number of people]]/(P50+Q50)</f>
        <v>0.93911826452064384</v>
      </c>
      <c r="F145" s="60">
        <v>0.5</v>
      </c>
    </row>
    <row r="146" spans="1:7" hidden="1">
      <c r="A146" s="54" t="s">
        <v>476</v>
      </c>
      <c r="B146" s="54">
        <v>2023</v>
      </c>
      <c r="C146" s="54" t="s">
        <v>489</v>
      </c>
      <c r="D146" s="54">
        <v>15</v>
      </c>
      <c r="E146" s="57">
        <f>Table29[[#This Row],[Number of people]]/(P45+Q45)</f>
        <v>0.40540540540540543</v>
      </c>
      <c r="F146" s="60">
        <v>0.5</v>
      </c>
    </row>
    <row r="147" spans="1:7" hidden="1">
      <c r="A147" s="54" t="s">
        <v>478</v>
      </c>
      <c r="B147" s="54">
        <v>2023</v>
      </c>
      <c r="C147" s="54" t="s">
        <v>489</v>
      </c>
      <c r="D147" s="54"/>
      <c r="E147" s="57">
        <f>Table29[[#This Row],[Number of people]]/(P46+Q46)</f>
        <v>0</v>
      </c>
      <c r="F147" s="60">
        <v>0.5</v>
      </c>
    </row>
    <row r="148" spans="1:7" hidden="1">
      <c r="A148" s="54" t="s">
        <v>480</v>
      </c>
      <c r="B148" s="54">
        <v>2023</v>
      </c>
      <c r="C148" s="54" t="s">
        <v>489</v>
      </c>
      <c r="D148" s="54">
        <v>10117</v>
      </c>
      <c r="E148" s="57">
        <f>Table29[[#This Row],[Number of people]]/(P47+Q47)</f>
        <v>0.351981351981352</v>
      </c>
      <c r="F148" s="60">
        <v>0.5</v>
      </c>
    </row>
    <row r="149" spans="1:7" hidden="1">
      <c r="A149" s="54" t="s">
        <v>481</v>
      </c>
      <c r="B149" s="54">
        <v>2023</v>
      </c>
      <c r="C149" s="54" t="s">
        <v>489</v>
      </c>
      <c r="D149" s="54"/>
      <c r="E149" s="57">
        <f>Table29[[#This Row],[Number of people]]/(P48+Q48)</f>
        <v>0</v>
      </c>
      <c r="F149" s="60">
        <v>0.5</v>
      </c>
    </row>
    <row r="150" spans="1:7" hidden="1">
      <c r="A150" s="54" t="s">
        <v>482</v>
      </c>
      <c r="B150" s="54">
        <v>2023</v>
      </c>
      <c r="C150" s="54" t="s">
        <v>489</v>
      </c>
      <c r="D150" s="54">
        <v>3</v>
      </c>
      <c r="E150" s="57">
        <f>Table29[[#This Row],[Number of people]]/(P49+Q49)</f>
        <v>3.1914893617021274E-2</v>
      </c>
      <c r="F150" s="60">
        <v>0.5</v>
      </c>
    </row>
    <row r="151" spans="1:7" hidden="1">
      <c r="A151" s="54" t="s">
        <v>161</v>
      </c>
      <c r="B151" s="54">
        <v>2023</v>
      </c>
      <c r="C151" s="54" t="s">
        <v>489</v>
      </c>
      <c r="D151" s="54">
        <v>261</v>
      </c>
      <c r="E151" s="57">
        <f>Table29[[#This Row],[Number of people]]/(P50+Q50)</f>
        <v>6.0881735479356193E-2</v>
      </c>
      <c r="F151" s="60">
        <v>0.5</v>
      </c>
    </row>
    <row r="152" spans="1:7">
      <c r="A152" s="54" t="s">
        <v>476</v>
      </c>
      <c r="B152" s="54">
        <v>2024</v>
      </c>
      <c r="C152" s="54" t="s">
        <v>486</v>
      </c>
      <c r="D152" s="54">
        <v>17</v>
      </c>
      <c r="E152" s="57">
        <f>Table29[[#This Row],[Number of people]]/(R45+S45)</f>
        <v>0.51515151515151514</v>
      </c>
      <c r="F152" s="60">
        <v>0.5</v>
      </c>
    </row>
    <row r="153" spans="1:7">
      <c r="A153" s="54" t="s">
        <v>478</v>
      </c>
      <c r="B153" s="54">
        <v>2024</v>
      </c>
      <c r="C153" s="54" t="s">
        <v>486</v>
      </c>
      <c r="D153" s="54">
        <v>12</v>
      </c>
      <c r="E153" s="57">
        <f>Table29[[#This Row],[Number of people]]/(R46+S46)</f>
        <v>1</v>
      </c>
      <c r="F153" s="60">
        <v>0.5</v>
      </c>
    </row>
    <row r="154" spans="1:7">
      <c r="A154" s="54" t="s">
        <v>480</v>
      </c>
      <c r="B154" s="54">
        <v>2024</v>
      </c>
      <c r="C154" s="54" t="s">
        <v>486</v>
      </c>
      <c r="D154" s="54">
        <v>18866</v>
      </c>
      <c r="E154" s="57">
        <f>Table29[[#This Row],[Number of people]]/(R47+S47)</f>
        <v>0.67169865062128387</v>
      </c>
      <c r="F154" s="60">
        <v>0.5</v>
      </c>
    </row>
    <row r="155" spans="1:7">
      <c r="A155" s="54" t="s">
        <v>481</v>
      </c>
      <c r="B155" s="54">
        <v>2024</v>
      </c>
      <c r="C155" s="54" t="s">
        <v>486</v>
      </c>
      <c r="D155" s="54">
        <v>511</v>
      </c>
      <c r="E155" s="57">
        <f>Table29[[#This Row],[Number of people]]/(R48+S48)</f>
        <v>1</v>
      </c>
      <c r="F155" s="60">
        <v>0.5</v>
      </c>
    </row>
    <row r="156" spans="1:7">
      <c r="A156" s="54" t="s">
        <v>482</v>
      </c>
      <c r="B156" s="54">
        <v>2024</v>
      </c>
      <c r="C156" s="54" t="s">
        <v>486</v>
      </c>
      <c r="D156" s="54">
        <v>89</v>
      </c>
      <c r="E156" s="57">
        <f>Table29[[#This Row],[Number of people]]/(R49+S49)</f>
        <v>0.956989247311828</v>
      </c>
      <c r="F156" s="60">
        <v>0.5</v>
      </c>
    </row>
    <row r="157" spans="1:7">
      <c r="A157" s="54" t="s">
        <v>161</v>
      </c>
      <c r="B157" s="54">
        <v>2024</v>
      </c>
      <c r="C157" s="54" t="s">
        <v>486</v>
      </c>
      <c r="D157" s="54">
        <v>4204</v>
      </c>
      <c r="E157" s="57">
        <f>Table29[[#This Row],[Number of people]]/(R50+S50)</f>
        <v>0.91930898753553469</v>
      </c>
      <c r="F157" s="60">
        <v>0.5</v>
      </c>
    </row>
    <row r="158" spans="1:7" ht="20.65" hidden="1">
      <c r="A158" s="54" t="s">
        <v>476</v>
      </c>
      <c r="B158" s="54">
        <v>2024</v>
      </c>
      <c r="C158" s="54" t="s">
        <v>489</v>
      </c>
      <c r="D158" s="54">
        <v>16</v>
      </c>
      <c r="E158" s="57">
        <f>Table29[[#This Row],[Number of people]]/(R45+S45)</f>
        <v>0.48484848484848486</v>
      </c>
      <c r="F158" s="60">
        <v>0.5</v>
      </c>
      <c r="G158" s="59" t="s">
        <v>490</v>
      </c>
    </row>
    <row r="159" spans="1:7" hidden="1">
      <c r="A159" s="54" t="s">
        <v>478</v>
      </c>
      <c r="B159" s="54">
        <v>2024</v>
      </c>
      <c r="C159" s="54" t="s">
        <v>489</v>
      </c>
      <c r="D159" s="54"/>
      <c r="E159" s="57">
        <f>Table29[[#This Row],[Number of people]]/(R46+S46)</f>
        <v>0</v>
      </c>
      <c r="F159" s="60">
        <v>0.5</v>
      </c>
    </row>
    <row r="160" spans="1:7" hidden="1">
      <c r="A160" s="54" t="s">
        <v>480</v>
      </c>
      <c r="B160" s="54">
        <v>2024</v>
      </c>
      <c r="C160" s="54" t="s">
        <v>489</v>
      </c>
      <c r="D160" s="54">
        <v>9221</v>
      </c>
      <c r="E160" s="57">
        <f>Table29[[#This Row],[Number of people]]/(R47+S47)</f>
        <v>0.32830134937871613</v>
      </c>
      <c r="F160" s="60">
        <v>0.5</v>
      </c>
    </row>
    <row r="161" spans="1:6" hidden="1">
      <c r="A161" s="54" t="s">
        <v>481</v>
      </c>
      <c r="B161" s="54">
        <v>2024</v>
      </c>
      <c r="C161" s="54" t="s">
        <v>489</v>
      </c>
      <c r="D161" s="54"/>
      <c r="E161" s="57">
        <f>Table29[[#This Row],[Number of people]]/(R48+S48)</f>
        <v>0</v>
      </c>
      <c r="F161" s="60">
        <v>0.5</v>
      </c>
    </row>
    <row r="162" spans="1:6" hidden="1">
      <c r="A162" s="54" t="s">
        <v>482</v>
      </c>
      <c r="B162" s="54">
        <v>2024</v>
      </c>
      <c r="C162" s="54" t="s">
        <v>489</v>
      </c>
      <c r="D162" s="54">
        <v>4</v>
      </c>
      <c r="E162" s="57">
        <f>Table29[[#This Row],[Number of people]]/(R49+S49)</f>
        <v>4.3010752688172046E-2</v>
      </c>
      <c r="F162" s="60">
        <v>0.5</v>
      </c>
    </row>
    <row r="163" spans="1:6" hidden="1">
      <c r="A163" s="54" t="s">
        <v>161</v>
      </c>
      <c r="B163" s="54">
        <v>2024</v>
      </c>
      <c r="C163" s="54" t="s">
        <v>489</v>
      </c>
      <c r="D163" s="54">
        <v>369</v>
      </c>
      <c r="E163" s="57">
        <f>Table29[[#This Row],[Number of people]]/(R50+S50)</f>
        <v>8.0691012464465334E-2</v>
      </c>
      <c r="F163" s="60">
        <v>0.5</v>
      </c>
    </row>
    <row r="166" spans="1:6" s="117" customFormat="1">
      <c r="A166" s="117" t="s">
        <v>491</v>
      </c>
    </row>
    <row r="167" spans="1:6">
      <c r="A167" t="s">
        <v>492</v>
      </c>
    </row>
    <row r="168" spans="1:6">
      <c r="A168" t="s">
        <v>159</v>
      </c>
      <c r="B168" t="s">
        <v>487</v>
      </c>
      <c r="C168" t="s">
        <v>373</v>
      </c>
      <c r="D168" t="s">
        <v>493</v>
      </c>
      <c r="E168" t="s">
        <v>494</v>
      </c>
      <c r="F168" t="s">
        <v>488</v>
      </c>
    </row>
    <row r="169" spans="1:6">
      <c r="A169">
        <v>2016</v>
      </c>
      <c r="B169" t="s">
        <v>486</v>
      </c>
      <c r="C169">
        <f>SUMIFS(Table29[Number of people],Table29[Year],Table30[[#This Row],[Year]],Table29[Status],Table30[[#This Row],[Status]])</f>
        <v>20515</v>
      </c>
      <c r="D169" s="4">
        <f>Table30[[#This Row],[Number of people]]/(B51+C51)</f>
        <v>0.69521163035006273</v>
      </c>
      <c r="E169" s="33">
        <v>0.5</v>
      </c>
    </row>
    <row r="170" spans="1:6">
      <c r="A170">
        <v>2017</v>
      </c>
      <c r="B170" t="s">
        <v>486</v>
      </c>
      <c r="C170">
        <f>SUMIFS(Table29[Number of people],Table29[Year],Table30[[#This Row],[Year]],Table29[Status],Table30[[#This Row],[Status]])</f>
        <v>21056</v>
      </c>
      <c r="D170" s="4">
        <f>Table30[[#This Row],[Number of people]]/SUM(D51:E51)</f>
        <v>0.68644454586946602</v>
      </c>
      <c r="E170" s="33">
        <v>0.5</v>
      </c>
    </row>
    <row r="171" spans="1:6">
      <c r="A171">
        <v>2018</v>
      </c>
      <c r="B171" t="s">
        <v>486</v>
      </c>
      <c r="C171">
        <f>SUMIFS(Table29[Number of people],Table29[Year],Table30[[#This Row],[Year]],Table29[Status],Table30[[#This Row],[Status]])</f>
        <v>21467</v>
      </c>
      <c r="D171" s="4">
        <f>Table30[[#This Row],[Number of people]]/SUM(F51:G51)</f>
        <v>0.68327073652046599</v>
      </c>
      <c r="E171" s="33">
        <v>0.5</v>
      </c>
    </row>
    <row r="172" spans="1:6">
      <c r="A172">
        <v>2019</v>
      </c>
      <c r="B172" t="s">
        <v>486</v>
      </c>
      <c r="C172">
        <f>SUMIFS(Table29[Number of people],Table29[Year],Table30[[#This Row],[Year]],Table29[Status],Table30[[#This Row],[Status]])</f>
        <v>21767</v>
      </c>
      <c r="D172" s="4">
        <f>Table30[[#This Row],[Number of people]]/SUM(H51:I51)</f>
        <v>0.67883985654140033</v>
      </c>
      <c r="E172" s="33">
        <v>0.5</v>
      </c>
    </row>
    <row r="173" spans="1:6">
      <c r="A173">
        <v>2020</v>
      </c>
      <c r="B173" t="s">
        <v>486</v>
      </c>
      <c r="C173">
        <f>SUMIFS(Table29[Number of people],Table29[Year],Table30[[#This Row],[Year]],Table29[Status],Table30[[#This Row],[Status]])</f>
        <v>21836</v>
      </c>
      <c r="D173" s="4">
        <f>Table30[[#This Row],[Number of people]]/SUM(J51:K51)</f>
        <v>0.71649822811392572</v>
      </c>
      <c r="E173" s="33">
        <v>0.5</v>
      </c>
    </row>
    <row r="174" spans="1:6">
      <c r="A174">
        <v>2021</v>
      </c>
      <c r="B174" t="s">
        <v>486</v>
      </c>
      <c r="C174">
        <f>SUMIFS(Table29[Number of people],Table29[Year],Table30[[#This Row],[Year]],Table29[Status],Table30[[#This Row],[Status]])</f>
        <v>23133</v>
      </c>
      <c r="D174" s="4">
        <f>Table30[[#This Row],[Number of people]]/SUM(L51:M51)</f>
        <v>0.70131878126421099</v>
      </c>
      <c r="E174" s="33">
        <v>0.5</v>
      </c>
    </row>
    <row r="175" spans="1:6">
      <c r="A175">
        <v>2022</v>
      </c>
      <c r="B175" t="s">
        <v>486</v>
      </c>
      <c r="C175">
        <f>SUMIFS(Table29[Number of people],Table29[Year],Table30[[#This Row],[Year]],Table29[Status],Table30[[#This Row],[Status]])</f>
        <v>22655</v>
      </c>
      <c r="D175" s="4">
        <f>Table30[[#This Row],[Number of people]]/SUM(N51:O51)</f>
        <v>0.69425717087521455</v>
      </c>
      <c r="E175" s="33">
        <v>0.5</v>
      </c>
    </row>
    <row r="176" spans="1:6">
      <c r="A176">
        <v>2023</v>
      </c>
      <c r="B176" t="s">
        <v>486</v>
      </c>
      <c r="C176">
        <f>SUMIFS(Table29[Number of people],Table29[Year],Table30[[#This Row],[Year]],Table29[Status],Table30[[#This Row],[Status]])</f>
        <v>23340</v>
      </c>
      <c r="D176" s="4">
        <f>Table30[[#This Row],[Number of people]]/SUM(P51:Q51)</f>
        <v>0.69184254209153428</v>
      </c>
      <c r="E176" s="33">
        <v>0.5</v>
      </c>
    </row>
    <row r="177" spans="1:5">
      <c r="A177">
        <v>2024</v>
      </c>
      <c r="B177" t="s">
        <v>486</v>
      </c>
      <c r="C177">
        <f>SUMIFS(Table29[Number of people],Table29[Year],Table30[[#This Row],[Year]],Table29[Status],Table30[[#This Row],[Status]])</f>
        <v>23699</v>
      </c>
      <c r="D177" s="4">
        <f>Table30[[#This Row],[Number of people]]/SUM(R51:S51)</f>
        <v>0.71148938725269451</v>
      </c>
      <c r="E177" s="33">
        <v>0.5</v>
      </c>
    </row>
    <row r="178" spans="1:5">
      <c r="A178">
        <v>2016</v>
      </c>
      <c r="B178" s="54" t="s">
        <v>489</v>
      </c>
      <c r="C178">
        <f>SUMIFS(Table29[Number of people],Table29[Year],Table30[[#This Row],[Year]],Table29[Status],Table30[[#This Row],[Status]])</f>
        <v>8994</v>
      </c>
      <c r="D178" s="4">
        <f>Table30[[#This Row],[Number of people]]/(B51+C51)</f>
        <v>0.30478836964993733</v>
      </c>
      <c r="E178" s="33">
        <v>0.5</v>
      </c>
    </row>
    <row r="179" spans="1:5">
      <c r="A179">
        <v>2017</v>
      </c>
      <c r="B179" s="54" t="s">
        <v>489</v>
      </c>
      <c r="C179">
        <f>SUMIFS(Table29[Number of people],Table29[Year],Table30[[#This Row],[Year]],Table29[Status],Table30[[#This Row],[Status]])</f>
        <v>9618</v>
      </c>
      <c r="D179" s="4">
        <f>Table30[[#This Row],[Number of people]]/SUM(D51:E51)</f>
        <v>0.31355545413053398</v>
      </c>
      <c r="E179" s="33">
        <v>0.5</v>
      </c>
    </row>
    <row r="180" spans="1:5">
      <c r="A180">
        <v>2018</v>
      </c>
      <c r="B180" s="54" t="s">
        <v>489</v>
      </c>
      <c r="C180">
        <f>SUMIFS(Table29[Number of people],Table29[Year],Table30[[#This Row],[Year]],Table29[Status],Table30[[#This Row],[Status]])</f>
        <v>9951</v>
      </c>
      <c r="D180" s="4">
        <f>Table30[[#This Row],[Number of people]]/SUM(F51:G51)</f>
        <v>0.31672926347953401</v>
      </c>
      <c r="E180" s="33">
        <v>0.5</v>
      </c>
    </row>
    <row r="181" spans="1:5">
      <c r="A181">
        <v>2019</v>
      </c>
      <c r="B181" s="54" t="s">
        <v>489</v>
      </c>
      <c r="C181">
        <f>SUMIFS(Table29[Number of people],Table29[Year],Table30[[#This Row],[Year]],Table29[Status],Table30[[#This Row],[Status]])</f>
        <v>10298</v>
      </c>
      <c r="D181" s="4">
        <f>Table30[[#This Row],[Number of people]]/SUM(H51:I51)</f>
        <v>0.32116014345859972</v>
      </c>
      <c r="E181" s="33">
        <v>0.5</v>
      </c>
    </row>
    <row r="182" spans="1:5">
      <c r="A182">
        <v>2020</v>
      </c>
      <c r="B182" s="54" t="s">
        <v>489</v>
      </c>
      <c r="C182">
        <f>SUMIFS(Table29[Number of people],Table29[Year],Table30[[#This Row],[Year]],Table29[Status],Table30[[#This Row],[Status]])</f>
        <v>8640</v>
      </c>
      <c r="D182" s="4">
        <f>Table30[[#This Row],[Number of people]]/SUM(J51:K51)</f>
        <v>0.28350177188607428</v>
      </c>
      <c r="E182" s="33">
        <v>0.5</v>
      </c>
    </row>
    <row r="183" spans="1:5">
      <c r="A183">
        <v>2021</v>
      </c>
      <c r="B183" s="54" t="s">
        <v>489</v>
      </c>
      <c r="C183">
        <f>SUMIFS(Table29[Number of people],Table29[Year],Table30[[#This Row],[Year]],Table29[Status],Table30[[#This Row],[Status]])</f>
        <v>9852</v>
      </c>
      <c r="D183" s="4">
        <f>Table30[[#This Row],[Number of people]]/SUM(L51:M51)</f>
        <v>0.29868121873578901</v>
      </c>
      <c r="E183" s="33">
        <v>0.5</v>
      </c>
    </row>
    <row r="184" spans="1:5">
      <c r="A184">
        <v>2022</v>
      </c>
      <c r="B184" s="54" t="s">
        <v>489</v>
      </c>
      <c r="C184">
        <f>SUMIFS(Table29[Number of people],Table29[Year],Table30[[#This Row],[Year]],Table29[Status],Table30[[#This Row],[Status]])</f>
        <v>9977</v>
      </c>
      <c r="D184" s="4">
        <f>Table30[[#This Row],[Number of people]]/SUM(N51:O51)</f>
        <v>0.30574282912478551</v>
      </c>
      <c r="E184" s="33">
        <v>0.5</v>
      </c>
    </row>
    <row r="185" spans="1:5">
      <c r="A185">
        <v>2023</v>
      </c>
      <c r="B185" s="54" t="s">
        <v>489</v>
      </c>
      <c r="C185">
        <f>SUMIFS(Table29[Number of people],Table29[Year],Table30[[#This Row],[Year]],Table29[Status],Table30[[#This Row],[Status]])</f>
        <v>10396</v>
      </c>
      <c r="D185" s="4">
        <f>Table30[[#This Row],[Number of people]]/SUM(P51:Q51)</f>
        <v>0.30815745790846572</v>
      </c>
      <c r="E185" s="33">
        <v>0.5</v>
      </c>
    </row>
    <row r="186" spans="1:5">
      <c r="A186">
        <v>2024</v>
      </c>
      <c r="B186" s="54" t="s">
        <v>489</v>
      </c>
      <c r="C186">
        <f>SUMIFS(Table29[Number of people],Table29[Year],Table30[[#This Row],[Year]],Table29[Status],Table30[[#This Row],[Status]])</f>
        <v>9610</v>
      </c>
      <c r="D186" s="4">
        <f>Table30[[#This Row],[Number of people]]/SUM(R51:S51)</f>
        <v>0.28851061274730555</v>
      </c>
      <c r="E186" s="33">
        <v>0.5</v>
      </c>
    </row>
  </sheetData>
  <mergeCells count="10">
    <mergeCell ref="L43:M43"/>
    <mergeCell ref="N43:O43"/>
    <mergeCell ref="P43:Q43"/>
    <mergeCell ref="R43:S43"/>
    <mergeCell ref="A43:A44"/>
    <mergeCell ref="B43:C43"/>
    <mergeCell ref="D43:E43"/>
    <mergeCell ref="F43:G43"/>
    <mergeCell ref="H43:I43"/>
    <mergeCell ref="J43:K43"/>
  </mergeCells>
  <phoneticPr fontId="6" type="noConversion"/>
  <pageMargins left="0.7" right="0.7" top="0.75" bottom="0.75" header="0.3" footer="0.3"/>
  <pageSetup orientation="portrait" r:id="rId1"/>
  <tableParts count="3">
    <tablePart r:id="rId2"/>
    <tablePart r:id="rId3"/>
    <tablePart r:id="rId4"/>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1F5A3-1C5B-4CEC-B0D5-CC0C880F06C0}">
  <dimension ref="A1:L101"/>
  <sheetViews>
    <sheetView zoomScale="60" zoomScaleNormal="60" workbookViewId="0"/>
  </sheetViews>
  <sheetFormatPr defaultRowHeight="14.65"/>
  <cols>
    <col min="2" max="2" width="11.140625" bestFit="1" customWidth="1"/>
    <col min="3" max="3" width="47.5703125" bestFit="1" customWidth="1"/>
    <col min="4" max="6" width="18.7109375" customWidth="1"/>
    <col min="7" max="7" width="32.140625" customWidth="1"/>
    <col min="8" max="8" width="24.5703125" customWidth="1"/>
    <col min="9" max="9" width="38.5703125" customWidth="1"/>
    <col min="10" max="10" width="57.140625" customWidth="1"/>
    <col min="11" max="11" width="22.85546875" customWidth="1"/>
    <col min="12" max="12" width="19" customWidth="1"/>
  </cols>
  <sheetData>
    <row r="1" spans="1:12" s="98" customFormat="1" ht="20.65">
      <c r="A1" s="98" t="s">
        <v>72</v>
      </c>
    </row>
    <row r="3" spans="1:12">
      <c r="A3" s="13" t="s">
        <v>495</v>
      </c>
      <c r="B3" s="13"/>
      <c r="C3" s="13"/>
    </row>
    <row r="4" spans="1:12">
      <c r="A4" s="41" t="s">
        <v>496</v>
      </c>
      <c r="B4" s="41"/>
      <c r="C4" s="41"/>
    </row>
    <row r="5" spans="1:12">
      <c r="A5" s="41" t="s">
        <v>497</v>
      </c>
      <c r="B5" s="41"/>
      <c r="C5" s="41"/>
    </row>
    <row r="7" spans="1:12">
      <c r="A7" s="13" t="s">
        <v>159</v>
      </c>
      <c r="B7" s="13" t="s">
        <v>206</v>
      </c>
      <c r="C7" s="13" t="s">
        <v>498</v>
      </c>
      <c r="D7" t="s">
        <v>499</v>
      </c>
      <c r="E7" t="s">
        <v>500</v>
      </c>
      <c r="F7" t="s">
        <v>501</v>
      </c>
      <c r="G7" t="s">
        <v>502</v>
      </c>
      <c r="H7" t="s">
        <v>503</v>
      </c>
      <c r="I7" t="s">
        <v>504</v>
      </c>
      <c r="J7" t="s">
        <v>505</v>
      </c>
      <c r="K7" t="s">
        <v>506</v>
      </c>
      <c r="L7" t="s">
        <v>507</v>
      </c>
    </row>
    <row r="8" spans="1:12">
      <c r="A8">
        <v>2015</v>
      </c>
      <c r="B8" t="s">
        <v>508</v>
      </c>
      <c r="C8" t="s">
        <v>509</v>
      </c>
      <c r="D8" s="37">
        <v>0</v>
      </c>
      <c r="E8" s="37">
        <v>135</v>
      </c>
      <c r="F8" s="37">
        <v>5</v>
      </c>
      <c r="G8" s="37">
        <v>375</v>
      </c>
      <c r="H8" s="37">
        <v>1225</v>
      </c>
      <c r="I8" s="37">
        <v>265</v>
      </c>
      <c r="J8" s="37">
        <v>0</v>
      </c>
      <c r="K8" s="37">
        <v>0</v>
      </c>
      <c r="L8" s="37">
        <v>0</v>
      </c>
    </row>
    <row r="9" spans="1:12">
      <c r="A9">
        <v>2015</v>
      </c>
      <c r="B9" t="s">
        <v>508</v>
      </c>
      <c r="C9" t="s">
        <v>510</v>
      </c>
      <c r="D9" s="37">
        <v>0</v>
      </c>
      <c r="E9" s="37">
        <v>0</v>
      </c>
      <c r="F9" s="37">
        <v>0</v>
      </c>
      <c r="G9" s="37">
        <v>0</v>
      </c>
      <c r="H9" s="37">
        <v>5</v>
      </c>
      <c r="I9" s="37">
        <v>0</v>
      </c>
      <c r="J9" s="37">
        <v>0</v>
      </c>
      <c r="K9" s="37">
        <v>0</v>
      </c>
      <c r="L9" s="37">
        <v>0</v>
      </c>
    </row>
    <row r="10" spans="1:12">
      <c r="A10">
        <v>2015</v>
      </c>
      <c r="B10" t="s">
        <v>508</v>
      </c>
      <c r="C10" t="s">
        <v>511</v>
      </c>
      <c r="D10" s="37">
        <v>0</v>
      </c>
      <c r="E10" s="37">
        <v>0</v>
      </c>
      <c r="F10" s="37">
        <v>0</v>
      </c>
      <c r="G10" s="37">
        <v>10</v>
      </c>
      <c r="H10" s="37">
        <v>5</v>
      </c>
      <c r="I10" s="37">
        <v>0</v>
      </c>
      <c r="J10" s="37">
        <v>0</v>
      </c>
      <c r="K10" s="37">
        <v>0</v>
      </c>
      <c r="L10" s="37">
        <v>0</v>
      </c>
    </row>
    <row r="11" spans="1:12">
      <c r="A11">
        <v>2015</v>
      </c>
      <c r="B11" t="s">
        <v>512</v>
      </c>
      <c r="C11" t="s">
        <v>509</v>
      </c>
      <c r="D11" s="37">
        <v>40</v>
      </c>
      <c r="E11" s="37">
        <v>175</v>
      </c>
      <c r="F11" s="37">
        <v>5</v>
      </c>
      <c r="G11" s="37">
        <v>1985</v>
      </c>
      <c r="H11" s="37">
        <v>4665</v>
      </c>
      <c r="I11" s="37">
        <v>610</v>
      </c>
      <c r="J11" s="37">
        <v>0</v>
      </c>
      <c r="K11" s="37">
        <v>0</v>
      </c>
      <c r="L11" s="37">
        <v>0</v>
      </c>
    </row>
    <row r="12" spans="1:12">
      <c r="A12">
        <v>2015</v>
      </c>
      <c r="B12" t="s">
        <v>512</v>
      </c>
      <c r="C12" t="s">
        <v>510</v>
      </c>
      <c r="D12" s="37">
        <v>0</v>
      </c>
      <c r="E12" s="37">
        <v>0</v>
      </c>
      <c r="F12" s="37">
        <v>0</v>
      </c>
      <c r="G12" s="37">
        <v>0</v>
      </c>
      <c r="H12" s="37">
        <v>60</v>
      </c>
      <c r="I12" s="37">
        <v>0</v>
      </c>
      <c r="J12" s="37">
        <v>0</v>
      </c>
      <c r="K12" s="37">
        <v>0</v>
      </c>
      <c r="L12" s="37">
        <v>0</v>
      </c>
    </row>
    <row r="13" spans="1:12">
      <c r="A13">
        <v>2015</v>
      </c>
      <c r="B13" t="s">
        <v>512</v>
      </c>
      <c r="C13" t="s">
        <v>511</v>
      </c>
      <c r="D13" s="37">
        <v>0</v>
      </c>
      <c r="E13" s="37">
        <v>0</v>
      </c>
      <c r="F13" s="37">
        <v>0</v>
      </c>
      <c r="G13" s="37">
        <v>15</v>
      </c>
      <c r="H13" s="37">
        <v>15</v>
      </c>
      <c r="I13" s="37">
        <v>0</v>
      </c>
      <c r="J13" s="37">
        <v>0</v>
      </c>
      <c r="K13" s="37">
        <v>0</v>
      </c>
      <c r="L13" s="37">
        <v>0</v>
      </c>
    </row>
    <row r="14" spans="1:12">
      <c r="A14">
        <v>2016</v>
      </c>
      <c r="B14" t="s">
        <v>508</v>
      </c>
      <c r="C14" t="s">
        <v>509</v>
      </c>
      <c r="D14" s="37">
        <v>5</v>
      </c>
      <c r="E14" s="37">
        <v>95</v>
      </c>
      <c r="F14" s="37">
        <v>0</v>
      </c>
      <c r="G14" s="37">
        <v>495</v>
      </c>
      <c r="H14" s="37">
        <v>1020</v>
      </c>
      <c r="I14" s="37">
        <v>225</v>
      </c>
      <c r="J14" s="37">
        <v>0</v>
      </c>
      <c r="K14" s="37">
        <v>0</v>
      </c>
      <c r="L14" s="37">
        <v>0</v>
      </c>
    </row>
    <row r="15" spans="1:12">
      <c r="A15">
        <v>2016</v>
      </c>
      <c r="B15" t="s">
        <v>508</v>
      </c>
      <c r="C15" t="s">
        <v>510</v>
      </c>
      <c r="D15" s="37">
        <v>0</v>
      </c>
      <c r="E15" s="37">
        <v>0</v>
      </c>
      <c r="F15" s="37">
        <v>0</v>
      </c>
      <c r="G15" s="37">
        <v>5</v>
      </c>
      <c r="H15" s="37">
        <v>0</v>
      </c>
      <c r="I15" s="37">
        <v>0</v>
      </c>
      <c r="J15" s="37">
        <v>0</v>
      </c>
      <c r="K15" s="37">
        <v>0</v>
      </c>
      <c r="L15" s="37">
        <v>0</v>
      </c>
    </row>
    <row r="16" spans="1:12">
      <c r="A16">
        <v>2016</v>
      </c>
      <c r="B16" t="s">
        <v>508</v>
      </c>
      <c r="C16" t="s">
        <v>511</v>
      </c>
      <c r="D16" s="37">
        <v>0</v>
      </c>
      <c r="E16" s="37">
        <v>0</v>
      </c>
      <c r="F16" s="37">
        <v>0</v>
      </c>
      <c r="G16" s="37">
        <v>5</v>
      </c>
      <c r="H16" s="37">
        <v>5</v>
      </c>
      <c r="I16" s="37">
        <v>0</v>
      </c>
      <c r="J16" s="37">
        <v>0</v>
      </c>
      <c r="K16" s="37">
        <v>0</v>
      </c>
      <c r="L16" s="37">
        <v>0</v>
      </c>
    </row>
    <row r="17" spans="1:12">
      <c r="A17">
        <v>2016</v>
      </c>
      <c r="B17" t="s">
        <v>512</v>
      </c>
      <c r="C17" t="s">
        <v>509</v>
      </c>
      <c r="D17" s="37">
        <v>20</v>
      </c>
      <c r="E17" s="37">
        <v>170</v>
      </c>
      <c r="F17" s="37">
        <v>0</v>
      </c>
      <c r="G17" s="37">
        <v>1935</v>
      </c>
      <c r="H17" s="37">
        <v>4030</v>
      </c>
      <c r="I17" s="37">
        <v>630</v>
      </c>
      <c r="J17" s="37">
        <v>5</v>
      </c>
      <c r="K17" s="37">
        <v>10</v>
      </c>
      <c r="L17" s="37">
        <v>0</v>
      </c>
    </row>
    <row r="18" spans="1:12">
      <c r="A18">
        <v>2016</v>
      </c>
      <c r="B18" t="s">
        <v>512</v>
      </c>
      <c r="C18" t="s">
        <v>510</v>
      </c>
      <c r="D18" s="37">
        <v>0</v>
      </c>
      <c r="E18" s="37">
        <v>0</v>
      </c>
      <c r="F18" s="37">
        <v>0</v>
      </c>
      <c r="G18" s="37">
        <v>0</v>
      </c>
      <c r="H18" s="37">
        <v>45</v>
      </c>
      <c r="I18" s="37">
        <v>0</v>
      </c>
      <c r="J18" s="37">
        <v>0</v>
      </c>
      <c r="K18" s="37">
        <v>5</v>
      </c>
      <c r="L18" s="37">
        <v>0</v>
      </c>
    </row>
    <row r="19" spans="1:12">
      <c r="A19">
        <v>2016</v>
      </c>
      <c r="B19" t="s">
        <v>512</v>
      </c>
      <c r="C19" t="s">
        <v>511</v>
      </c>
      <c r="D19" s="37">
        <v>0</v>
      </c>
      <c r="E19" s="37">
        <v>0</v>
      </c>
      <c r="F19" s="37">
        <v>0</v>
      </c>
      <c r="G19" s="37">
        <v>10</v>
      </c>
      <c r="H19" s="37">
        <v>20</v>
      </c>
      <c r="I19" s="37">
        <v>0</v>
      </c>
      <c r="J19" s="37">
        <v>0</v>
      </c>
      <c r="K19" s="37">
        <v>0</v>
      </c>
      <c r="L19" s="37">
        <v>0</v>
      </c>
    </row>
    <row r="20" spans="1:12">
      <c r="A20">
        <v>2017</v>
      </c>
      <c r="B20" t="s">
        <v>508</v>
      </c>
      <c r="C20" t="s">
        <v>509</v>
      </c>
      <c r="D20" s="37">
        <v>0</v>
      </c>
      <c r="E20" s="37">
        <v>10</v>
      </c>
      <c r="F20" s="37">
        <v>0</v>
      </c>
      <c r="G20" s="37">
        <v>355</v>
      </c>
      <c r="H20" s="37">
        <v>980</v>
      </c>
      <c r="I20" s="37">
        <v>340</v>
      </c>
      <c r="J20" s="37">
        <v>0</v>
      </c>
      <c r="K20" s="37">
        <v>5</v>
      </c>
      <c r="L20" s="37">
        <v>0</v>
      </c>
    </row>
    <row r="21" spans="1:12">
      <c r="A21">
        <v>2017</v>
      </c>
      <c r="B21" t="s">
        <v>508</v>
      </c>
      <c r="C21" t="s">
        <v>510</v>
      </c>
      <c r="D21" s="37">
        <v>0</v>
      </c>
      <c r="E21" s="37">
        <v>0</v>
      </c>
      <c r="F21" s="37">
        <v>0</v>
      </c>
      <c r="G21" s="37">
        <v>0</v>
      </c>
      <c r="H21" s="37">
        <v>0</v>
      </c>
      <c r="I21" s="37">
        <v>0</v>
      </c>
      <c r="J21" s="37">
        <v>0</v>
      </c>
      <c r="K21" s="37">
        <v>0</v>
      </c>
      <c r="L21" s="37">
        <v>0</v>
      </c>
    </row>
    <row r="22" spans="1:12">
      <c r="A22">
        <v>2017</v>
      </c>
      <c r="B22" t="s">
        <v>508</v>
      </c>
      <c r="C22" t="s">
        <v>511</v>
      </c>
      <c r="D22" s="37">
        <v>0</v>
      </c>
      <c r="E22" s="37">
        <v>0</v>
      </c>
      <c r="F22" s="37">
        <v>0</v>
      </c>
      <c r="G22" s="37">
        <v>5</v>
      </c>
      <c r="H22" s="37">
        <v>5</v>
      </c>
      <c r="I22" s="37">
        <v>0</v>
      </c>
      <c r="J22" s="37">
        <v>0</v>
      </c>
      <c r="K22" s="37">
        <v>0</v>
      </c>
      <c r="L22" s="37">
        <v>0</v>
      </c>
    </row>
    <row r="23" spans="1:12">
      <c r="A23">
        <v>2017</v>
      </c>
      <c r="B23" t="s">
        <v>512</v>
      </c>
      <c r="C23" t="s">
        <v>509</v>
      </c>
      <c r="D23" s="37">
        <v>0</v>
      </c>
      <c r="E23" s="37">
        <v>5</v>
      </c>
      <c r="F23" s="37">
        <v>15</v>
      </c>
      <c r="G23" s="37">
        <v>1655</v>
      </c>
      <c r="H23" s="37">
        <v>3715</v>
      </c>
      <c r="I23" s="37">
        <v>705</v>
      </c>
      <c r="J23" s="37">
        <v>0</v>
      </c>
      <c r="K23" s="37">
        <v>15</v>
      </c>
      <c r="L23" s="37">
        <v>0</v>
      </c>
    </row>
    <row r="24" spans="1:12">
      <c r="A24">
        <v>2017</v>
      </c>
      <c r="B24" t="s">
        <v>512</v>
      </c>
      <c r="C24" t="s">
        <v>510</v>
      </c>
      <c r="D24" s="37">
        <v>0</v>
      </c>
      <c r="E24" s="37">
        <v>0</v>
      </c>
      <c r="F24" s="37">
        <v>0</v>
      </c>
      <c r="G24" s="37">
        <v>0</v>
      </c>
      <c r="H24" s="37">
        <v>35</v>
      </c>
      <c r="I24" s="37">
        <v>0</v>
      </c>
      <c r="J24" s="37">
        <v>0</v>
      </c>
      <c r="K24" s="37">
        <v>5</v>
      </c>
      <c r="L24" s="37">
        <v>0</v>
      </c>
    </row>
    <row r="25" spans="1:12">
      <c r="A25">
        <v>2017</v>
      </c>
      <c r="B25" t="s">
        <v>512</v>
      </c>
      <c r="C25" t="s">
        <v>511</v>
      </c>
      <c r="D25" s="37">
        <v>0</v>
      </c>
      <c r="E25" s="37">
        <v>0</v>
      </c>
      <c r="F25" s="37">
        <v>0</v>
      </c>
      <c r="G25" s="37">
        <v>10</v>
      </c>
      <c r="H25" s="37">
        <v>15</v>
      </c>
      <c r="I25" s="37">
        <v>0</v>
      </c>
      <c r="J25" s="37">
        <v>0</v>
      </c>
      <c r="K25" s="37">
        <v>0</v>
      </c>
      <c r="L25" s="37">
        <v>0</v>
      </c>
    </row>
    <row r="26" spans="1:12">
      <c r="A26">
        <v>2018</v>
      </c>
      <c r="B26" t="s">
        <v>508</v>
      </c>
      <c r="C26" t="s">
        <v>509</v>
      </c>
      <c r="D26" s="37">
        <v>0</v>
      </c>
      <c r="E26" s="37">
        <v>0</v>
      </c>
      <c r="F26" s="37">
        <v>0</v>
      </c>
      <c r="G26" s="37">
        <v>245</v>
      </c>
      <c r="H26" s="37">
        <v>775</v>
      </c>
      <c r="I26" s="37">
        <v>340</v>
      </c>
      <c r="J26" s="37">
        <v>0</v>
      </c>
      <c r="K26" s="37">
        <v>5</v>
      </c>
      <c r="L26" s="37">
        <v>0</v>
      </c>
    </row>
    <row r="27" spans="1:12">
      <c r="A27">
        <v>2018</v>
      </c>
      <c r="B27" t="s">
        <v>508</v>
      </c>
      <c r="C27" t="s">
        <v>510</v>
      </c>
      <c r="D27" s="37">
        <v>0</v>
      </c>
      <c r="E27" s="37">
        <v>0</v>
      </c>
      <c r="F27" s="37">
        <v>0</v>
      </c>
      <c r="G27" s="37">
        <v>0</v>
      </c>
      <c r="H27" s="37">
        <v>0</v>
      </c>
      <c r="I27" s="37">
        <v>0</v>
      </c>
      <c r="J27" s="37">
        <v>0</v>
      </c>
      <c r="K27" s="37">
        <v>0</v>
      </c>
      <c r="L27" s="37">
        <v>0</v>
      </c>
    </row>
    <row r="28" spans="1:12">
      <c r="A28">
        <v>2018</v>
      </c>
      <c r="B28" t="s">
        <v>508</v>
      </c>
      <c r="C28" t="s">
        <v>511</v>
      </c>
      <c r="D28" s="37">
        <v>0</v>
      </c>
      <c r="E28" s="37">
        <v>0</v>
      </c>
      <c r="F28" s="37">
        <v>0</v>
      </c>
      <c r="G28" s="37">
        <v>10</v>
      </c>
      <c r="H28" s="37">
        <v>5</v>
      </c>
      <c r="I28" s="37">
        <v>0</v>
      </c>
      <c r="J28" s="37">
        <v>0</v>
      </c>
      <c r="K28" s="37">
        <v>0</v>
      </c>
      <c r="L28" s="37">
        <v>0</v>
      </c>
    </row>
    <row r="29" spans="1:12">
      <c r="A29">
        <v>2018</v>
      </c>
      <c r="B29" t="s">
        <v>512</v>
      </c>
      <c r="C29" t="s">
        <v>509</v>
      </c>
      <c r="D29" s="37">
        <v>0</v>
      </c>
      <c r="E29" s="37">
        <v>0</v>
      </c>
      <c r="F29" s="37">
        <v>465</v>
      </c>
      <c r="G29" s="37">
        <v>1350</v>
      </c>
      <c r="H29" s="37">
        <v>3940</v>
      </c>
      <c r="I29" s="37">
        <v>785</v>
      </c>
      <c r="J29" s="37">
        <v>0</v>
      </c>
      <c r="K29" s="37">
        <v>5</v>
      </c>
      <c r="L29" s="37">
        <v>0</v>
      </c>
    </row>
    <row r="30" spans="1:12">
      <c r="A30">
        <v>2018</v>
      </c>
      <c r="B30" t="s">
        <v>512</v>
      </c>
      <c r="C30" t="s">
        <v>510</v>
      </c>
      <c r="D30" s="37">
        <v>0</v>
      </c>
      <c r="E30" s="37">
        <v>0</v>
      </c>
      <c r="F30" s="37">
        <v>0</v>
      </c>
      <c r="G30" s="37">
        <v>0</v>
      </c>
      <c r="H30" s="37">
        <v>25</v>
      </c>
      <c r="I30" s="37">
        <v>0</v>
      </c>
      <c r="J30" s="37">
        <v>0</v>
      </c>
      <c r="K30" s="37">
        <v>0</v>
      </c>
      <c r="L30" s="37">
        <v>0</v>
      </c>
    </row>
    <row r="31" spans="1:12">
      <c r="A31">
        <v>2018</v>
      </c>
      <c r="B31" t="s">
        <v>512</v>
      </c>
      <c r="C31" t="s">
        <v>511</v>
      </c>
      <c r="D31" s="37">
        <v>0</v>
      </c>
      <c r="E31" s="37">
        <v>0</v>
      </c>
      <c r="F31" s="37">
        <v>0</v>
      </c>
      <c r="G31" s="37">
        <v>15</v>
      </c>
      <c r="H31" s="37">
        <v>15</v>
      </c>
      <c r="I31" s="37">
        <v>0</v>
      </c>
      <c r="J31" s="37">
        <v>0</v>
      </c>
      <c r="K31" s="37">
        <v>0</v>
      </c>
      <c r="L31" s="37">
        <v>0</v>
      </c>
    </row>
    <row r="32" spans="1:12">
      <c r="A32">
        <v>2019</v>
      </c>
      <c r="B32" t="s">
        <v>508</v>
      </c>
      <c r="C32" t="s">
        <v>509</v>
      </c>
      <c r="D32" s="37">
        <v>0</v>
      </c>
      <c r="E32" s="37">
        <v>0</v>
      </c>
      <c r="F32" s="37">
        <v>0</v>
      </c>
      <c r="G32" s="37">
        <v>170</v>
      </c>
      <c r="H32" s="37">
        <v>745</v>
      </c>
      <c r="I32" s="37">
        <v>380</v>
      </c>
      <c r="J32" s="37">
        <v>0</v>
      </c>
      <c r="K32" s="37">
        <v>5</v>
      </c>
      <c r="L32" s="37">
        <v>0</v>
      </c>
    </row>
    <row r="33" spans="1:12">
      <c r="A33">
        <v>2019</v>
      </c>
      <c r="B33" t="s">
        <v>508</v>
      </c>
      <c r="C33" t="s">
        <v>510</v>
      </c>
      <c r="D33" s="37">
        <v>0</v>
      </c>
      <c r="E33" s="37">
        <v>0</v>
      </c>
      <c r="F33" s="37">
        <v>0</v>
      </c>
      <c r="G33" s="37">
        <v>5</v>
      </c>
      <c r="H33" s="37">
        <v>0</v>
      </c>
      <c r="I33" s="37">
        <v>0</v>
      </c>
      <c r="J33" s="37">
        <v>0</v>
      </c>
      <c r="K33" s="37">
        <v>0</v>
      </c>
      <c r="L33" s="37">
        <v>0</v>
      </c>
    </row>
    <row r="34" spans="1:12">
      <c r="A34">
        <v>2019</v>
      </c>
      <c r="B34" t="s">
        <v>508</v>
      </c>
      <c r="C34" t="s">
        <v>511</v>
      </c>
      <c r="D34" s="37">
        <v>0</v>
      </c>
      <c r="E34" s="37">
        <v>0</v>
      </c>
      <c r="F34" s="37">
        <v>0</v>
      </c>
      <c r="G34" s="37">
        <v>5</v>
      </c>
      <c r="H34" s="37">
        <v>5</v>
      </c>
      <c r="I34" s="37">
        <v>0</v>
      </c>
      <c r="J34" s="37">
        <v>0</v>
      </c>
      <c r="K34" s="37">
        <v>0</v>
      </c>
      <c r="L34" s="37">
        <v>0</v>
      </c>
    </row>
    <row r="35" spans="1:12">
      <c r="A35">
        <v>2019</v>
      </c>
      <c r="B35" t="s">
        <v>512</v>
      </c>
      <c r="C35" t="s">
        <v>509</v>
      </c>
      <c r="D35" s="37">
        <v>15</v>
      </c>
      <c r="E35" s="37">
        <v>0</v>
      </c>
      <c r="F35" s="37">
        <v>1690</v>
      </c>
      <c r="G35" s="37">
        <v>760</v>
      </c>
      <c r="H35" s="37">
        <v>4085</v>
      </c>
      <c r="I35" s="37">
        <v>1030</v>
      </c>
      <c r="J35" s="37">
        <v>0</v>
      </c>
      <c r="K35" s="37">
        <v>5</v>
      </c>
      <c r="L35" s="37">
        <v>0</v>
      </c>
    </row>
    <row r="36" spans="1:12">
      <c r="A36">
        <v>2019</v>
      </c>
      <c r="B36" t="s">
        <v>512</v>
      </c>
      <c r="C36" t="s">
        <v>510</v>
      </c>
      <c r="D36" s="37">
        <v>0</v>
      </c>
      <c r="E36" s="37">
        <v>0</v>
      </c>
      <c r="F36" s="37">
        <v>0</v>
      </c>
      <c r="G36" s="37">
        <v>0</v>
      </c>
      <c r="H36" s="37">
        <v>45</v>
      </c>
      <c r="I36" s="37">
        <v>0</v>
      </c>
      <c r="J36" s="37">
        <v>0</v>
      </c>
      <c r="K36" s="37">
        <v>0</v>
      </c>
      <c r="L36" s="37">
        <v>0</v>
      </c>
    </row>
    <row r="37" spans="1:12">
      <c r="A37">
        <v>2019</v>
      </c>
      <c r="B37" t="s">
        <v>512</v>
      </c>
      <c r="C37" t="s">
        <v>511</v>
      </c>
      <c r="D37" s="37">
        <v>0</v>
      </c>
      <c r="E37" s="37">
        <v>0</v>
      </c>
      <c r="F37" s="37">
        <v>0</v>
      </c>
      <c r="G37" s="37">
        <v>10</v>
      </c>
      <c r="H37" s="37">
        <v>15</v>
      </c>
      <c r="I37" s="37">
        <v>0</v>
      </c>
      <c r="J37" s="37">
        <v>0</v>
      </c>
      <c r="K37" s="37">
        <v>0</v>
      </c>
      <c r="L37" s="37">
        <v>0</v>
      </c>
    </row>
    <row r="38" spans="1:12">
      <c r="A38">
        <v>2020</v>
      </c>
      <c r="B38" t="s">
        <v>508</v>
      </c>
      <c r="C38" t="s">
        <v>509</v>
      </c>
      <c r="D38" s="37">
        <v>0</v>
      </c>
      <c r="E38" s="37">
        <v>0</v>
      </c>
      <c r="F38" s="37">
        <v>0</v>
      </c>
      <c r="G38" s="37">
        <v>120</v>
      </c>
      <c r="H38" s="37">
        <v>785</v>
      </c>
      <c r="I38" s="37">
        <v>585</v>
      </c>
      <c r="J38" s="37">
        <v>0</v>
      </c>
      <c r="K38" s="37">
        <v>5</v>
      </c>
      <c r="L38" s="37">
        <v>0</v>
      </c>
    </row>
    <row r="39" spans="1:12">
      <c r="A39">
        <v>2020</v>
      </c>
      <c r="B39" t="s">
        <v>508</v>
      </c>
      <c r="C39" t="s">
        <v>510</v>
      </c>
      <c r="D39" s="37">
        <v>0</v>
      </c>
      <c r="E39" s="37">
        <v>0</v>
      </c>
      <c r="F39" s="37">
        <v>0</v>
      </c>
      <c r="G39" s="37">
        <v>5</v>
      </c>
      <c r="H39" s="37">
        <v>0</v>
      </c>
      <c r="I39" s="37">
        <v>0</v>
      </c>
      <c r="J39" s="37">
        <v>0</v>
      </c>
      <c r="K39" s="37">
        <v>0</v>
      </c>
      <c r="L39" s="37">
        <v>0</v>
      </c>
    </row>
    <row r="40" spans="1:12">
      <c r="A40">
        <v>2020</v>
      </c>
      <c r="B40" t="s">
        <v>508</v>
      </c>
      <c r="C40" t="s">
        <v>511</v>
      </c>
      <c r="D40" s="37">
        <v>0</v>
      </c>
      <c r="E40" s="37">
        <v>0</v>
      </c>
      <c r="F40" s="37">
        <v>0</v>
      </c>
      <c r="G40" s="37">
        <v>5</v>
      </c>
      <c r="H40" s="37">
        <v>5</v>
      </c>
      <c r="I40" s="37">
        <v>0</v>
      </c>
      <c r="J40" s="37">
        <v>0</v>
      </c>
      <c r="K40" s="37">
        <v>0</v>
      </c>
      <c r="L40" s="37">
        <v>0</v>
      </c>
    </row>
    <row r="41" spans="1:12">
      <c r="A41">
        <v>2020</v>
      </c>
      <c r="B41" t="s">
        <v>512</v>
      </c>
      <c r="C41" t="s">
        <v>509</v>
      </c>
      <c r="D41" s="37">
        <v>25</v>
      </c>
      <c r="E41" s="37">
        <v>25</v>
      </c>
      <c r="F41" s="37">
        <v>2150</v>
      </c>
      <c r="G41" s="37">
        <v>220</v>
      </c>
      <c r="H41" s="37">
        <v>4050</v>
      </c>
      <c r="I41" s="37">
        <v>1415</v>
      </c>
      <c r="J41" s="37">
        <v>5</v>
      </c>
      <c r="K41" s="37">
        <v>30</v>
      </c>
      <c r="L41" s="37">
        <v>0</v>
      </c>
    </row>
    <row r="42" spans="1:12">
      <c r="A42">
        <v>2020</v>
      </c>
      <c r="B42" t="s">
        <v>512</v>
      </c>
      <c r="C42" t="s">
        <v>510</v>
      </c>
      <c r="D42" s="37">
        <v>0</v>
      </c>
      <c r="E42" s="37">
        <v>0</v>
      </c>
      <c r="F42" s="37">
        <v>0</v>
      </c>
      <c r="G42" s="37">
        <v>0</v>
      </c>
      <c r="H42" s="37">
        <v>35</v>
      </c>
      <c r="I42" s="37">
        <v>0</v>
      </c>
      <c r="J42" s="37">
        <v>0</v>
      </c>
      <c r="K42" s="37">
        <v>0</v>
      </c>
      <c r="L42" s="37">
        <v>0</v>
      </c>
    </row>
    <row r="43" spans="1:12">
      <c r="A43">
        <v>2020</v>
      </c>
      <c r="B43" t="s">
        <v>512</v>
      </c>
      <c r="C43" t="s">
        <v>511</v>
      </c>
      <c r="D43" s="37">
        <v>0</v>
      </c>
      <c r="E43" s="37">
        <v>0</v>
      </c>
      <c r="F43" s="37">
        <v>0</v>
      </c>
      <c r="G43" s="37">
        <v>10</v>
      </c>
      <c r="H43" s="37">
        <v>15</v>
      </c>
      <c r="I43" s="37">
        <v>0</v>
      </c>
      <c r="J43" s="37">
        <v>0</v>
      </c>
      <c r="K43" s="37">
        <v>0</v>
      </c>
      <c r="L43" s="37">
        <v>0</v>
      </c>
    </row>
    <row r="44" spans="1:12">
      <c r="A44">
        <v>2021</v>
      </c>
      <c r="B44" t="s">
        <v>508</v>
      </c>
      <c r="C44" t="s">
        <v>509</v>
      </c>
      <c r="D44" s="37">
        <v>0</v>
      </c>
      <c r="E44" s="37">
        <v>0</v>
      </c>
      <c r="F44" s="37">
        <v>110</v>
      </c>
      <c r="G44" s="37">
        <v>100</v>
      </c>
      <c r="H44" s="37">
        <v>925</v>
      </c>
      <c r="I44" s="37">
        <v>825</v>
      </c>
      <c r="J44" s="37">
        <v>0</v>
      </c>
      <c r="K44" s="37">
        <v>15</v>
      </c>
      <c r="L44" s="37">
        <v>0</v>
      </c>
    </row>
    <row r="45" spans="1:12">
      <c r="A45">
        <v>2021</v>
      </c>
      <c r="B45" t="s">
        <v>508</v>
      </c>
      <c r="C45" t="s">
        <v>510</v>
      </c>
      <c r="D45" s="37">
        <v>0</v>
      </c>
      <c r="E45" s="37">
        <v>0</v>
      </c>
      <c r="F45" s="37">
        <v>0</v>
      </c>
      <c r="G45" s="37">
        <v>0</v>
      </c>
      <c r="H45" s="37">
        <v>0</v>
      </c>
      <c r="I45" s="37">
        <v>0</v>
      </c>
      <c r="J45" s="37">
        <v>0</v>
      </c>
      <c r="K45" s="37">
        <v>0</v>
      </c>
      <c r="L45" s="37">
        <v>0</v>
      </c>
    </row>
    <row r="46" spans="1:12">
      <c r="A46">
        <v>2021</v>
      </c>
      <c r="B46" t="s">
        <v>508</v>
      </c>
      <c r="C46" t="s">
        <v>511</v>
      </c>
      <c r="D46" s="37">
        <v>0</v>
      </c>
      <c r="E46" s="37">
        <v>0</v>
      </c>
      <c r="F46" s="37">
        <v>0</v>
      </c>
      <c r="G46" s="37">
        <v>5</v>
      </c>
      <c r="H46" s="37">
        <v>5</v>
      </c>
      <c r="I46" s="37">
        <v>0</v>
      </c>
      <c r="J46" s="37">
        <v>0</v>
      </c>
      <c r="K46" s="37">
        <v>0</v>
      </c>
      <c r="L46" s="37">
        <v>0</v>
      </c>
    </row>
    <row r="47" spans="1:12">
      <c r="A47">
        <v>2021</v>
      </c>
      <c r="B47" t="s">
        <v>512</v>
      </c>
      <c r="C47" t="s">
        <v>509</v>
      </c>
      <c r="D47" s="37">
        <v>20</v>
      </c>
      <c r="E47" s="37">
        <v>35</v>
      </c>
      <c r="F47" s="37">
        <v>2080</v>
      </c>
      <c r="G47" s="37">
        <v>210</v>
      </c>
      <c r="H47" s="37">
        <v>4465</v>
      </c>
      <c r="I47" s="37">
        <v>1635</v>
      </c>
      <c r="J47" s="37">
        <v>0</v>
      </c>
      <c r="K47" s="37">
        <v>80</v>
      </c>
      <c r="L47" s="37">
        <v>0</v>
      </c>
    </row>
    <row r="48" spans="1:12">
      <c r="A48">
        <v>2021</v>
      </c>
      <c r="B48" t="s">
        <v>512</v>
      </c>
      <c r="C48" t="s">
        <v>510</v>
      </c>
      <c r="D48" s="37">
        <v>0</v>
      </c>
      <c r="E48" s="37">
        <v>0</v>
      </c>
      <c r="F48" s="37">
        <v>0</v>
      </c>
      <c r="G48" s="37">
        <v>0</v>
      </c>
      <c r="H48" s="37">
        <v>25</v>
      </c>
      <c r="I48" s="37">
        <v>0</v>
      </c>
      <c r="J48" s="37">
        <v>0</v>
      </c>
      <c r="K48" s="37">
        <v>0</v>
      </c>
      <c r="L48" s="37">
        <v>0</v>
      </c>
    </row>
    <row r="49" spans="1:12">
      <c r="A49">
        <v>2021</v>
      </c>
      <c r="B49" t="s">
        <v>512</v>
      </c>
      <c r="C49" t="s">
        <v>511</v>
      </c>
      <c r="D49" s="37">
        <v>0</v>
      </c>
      <c r="E49" s="37">
        <v>0</v>
      </c>
      <c r="F49" s="37">
        <v>0</v>
      </c>
      <c r="G49" s="37">
        <v>5</v>
      </c>
      <c r="H49" s="37">
        <v>10</v>
      </c>
      <c r="I49" s="37">
        <v>0</v>
      </c>
      <c r="J49" s="37">
        <v>0</v>
      </c>
      <c r="K49" s="37">
        <v>0</v>
      </c>
      <c r="L49" s="37">
        <v>0</v>
      </c>
    </row>
    <row r="50" spans="1:12">
      <c r="A50">
        <v>2022</v>
      </c>
      <c r="B50" t="s">
        <v>508</v>
      </c>
      <c r="C50" t="s">
        <v>509</v>
      </c>
      <c r="D50" s="37">
        <v>0</v>
      </c>
      <c r="E50" s="37">
        <v>0</v>
      </c>
      <c r="F50" s="37">
        <v>60</v>
      </c>
      <c r="G50" s="37">
        <v>90</v>
      </c>
      <c r="H50" s="37">
        <v>825</v>
      </c>
      <c r="I50" s="37">
        <v>780</v>
      </c>
      <c r="J50" s="37">
        <v>5</v>
      </c>
      <c r="K50" s="37">
        <v>55</v>
      </c>
      <c r="L50" s="37">
        <v>0</v>
      </c>
    </row>
    <row r="51" spans="1:12">
      <c r="A51">
        <v>2022</v>
      </c>
      <c r="B51" t="s">
        <v>508</v>
      </c>
      <c r="C51" t="s">
        <v>510</v>
      </c>
      <c r="D51" s="37">
        <v>0</v>
      </c>
      <c r="E51" s="37">
        <v>0</v>
      </c>
      <c r="F51" s="37">
        <v>0</v>
      </c>
      <c r="G51" s="37">
        <v>5</v>
      </c>
      <c r="H51" s="37">
        <v>0</v>
      </c>
      <c r="I51" s="37">
        <v>0</v>
      </c>
      <c r="J51" s="37">
        <v>0</v>
      </c>
      <c r="K51" s="37">
        <v>0</v>
      </c>
      <c r="L51" s="37">
        <v>0</v>
      </c>
    </row>
    <row r="52" spans="1:12">
      <c r="A52">
        <v>2022</v>
      </c>
      <c r="B52" t="s">
        <v>508</v>
      </c>
      <c r="C52" t="s">
        <v>511</v>
      </c>
      <c r="D52" s="37">
        <v>0</v>
      </c>
      <c r="E52" s="37">
        <v>0</v>
      </c>
      <c r="F52" s="37">
        <v>10</v>
      </c>
      <c r="G52" s="37">
        <v>5</v>
      </c>
      <c r="H52" s="37">
        <v>5</v>
      </c>
      <c r="I52" s="37">
        <v>0</v>
      </c>
      <c r="J52" s="37">
        <v>0</v>
      </c>
      <c r="K52" s="37">
        <v>0</v>
      </c>
      <c r="L52" s="37">
        <v>0</v>
      </c>
    </row>
    <row r="53" spans="1:12">
      <c r="A53">
        <v>2022</v>
      </c>
      <c r="B53" t="s">
        <v>512</v>
      </c>
      <c r="C53" t="s">
        <v>509</v>
      </c>
      <c r="D53" s="37">
        <v>65</v>
      </c>
      <c r="E53" s="37">
        <v>40</v>
      </c>
      <c r="F53" s="37">
        <v>815</v>
      </c>
      <c r="G53" s="37">
        <v>145</v>
      </c>
      <c r="H53" s="37">
        <v>4025</v>
      </c>
      <c r="I53" s="37">
        <v>1420</v>
      </c>
      <c r="J53" s="37">
        <v>5</v>
      </c>
      <c r="K53" s="37">
        <v>90</v>
      </c>
      <c r="L53" s="37">
        <v>0</v>
      </c>
    </row>
    <row r="54" spans="1:12">
      <c r="A54">
        <v>2022</v>
      </c>
      <c r="B54" t="s">
        <v>512</v>
      </c>
      <c r="C54" t="s">
        <v>510</v>
      </c>
      <c r="D54" s="37">
        <v>0</v>
      </c>
      <c r="E54" s="37">
        <v>0</v>
      </c>
      <c r="F54" s="37">
        <v>0</v>
      </c>
      <c r="G54" s="37">
        <v>0</v>
      </c>
      <c r="H54" s="37">
        <v>5</v>
      </c>
      <c r="I54" s="37">
        <v>0</v>
      </c>
      <c r="J54" s="37">
        <v>0</v>
      </c>
      <c r="K54" s="37">
        <v>0</v>
      </c>
      <c r="L54" s="37">
        <v>0</v>
      </c>
    </row>
    <row r="55" spans="1:12">
      <c r="A55">
        <v>2022</v>
      </c>
      <c r="B55" t="s">
        <v>512</v>
      </c>
      <c r="C55" t="s">
        <v>511</v>
      </c>
      <c r="D55" s="37">
        <v>0</v>
      </c>
      <c r="E55" s="37">
        <v>0</v>
      </c>
      <c r="F55" s="37">
        <v>0</v>
      </c>
      <c r="G55" s="37">
        <v>10</v>
      </c>
      <c r="H55" s="37">
        <v>10</v>
      </c>
      <c r="I55" s="37">
        <v>0</v>
      </c>
      <c r="J55" s="37">
        <v>0</v>
      </c>
      <c r="K55" s="37">
        <v>0</v>
      </c>
      <c r="L55" s="37">
        <v>0</v>
      </c>
    </row>
    <row r="56" spans="1:12">
      <c r="A56">
        <v>2023</v>
      </c>
      <c r="B56" t="s">
        <v>508</v>
      </c>
      <c r="C56" t="s">
        <v>509</v>
      </c>
      <c r="D56" s="37">
        <v>0</v>
      </c>
      <c r="E56" s="37">
        <v>0</v>
      </c>
      <c r="F56" s="37">
        <v>100</v>
      </c>
      <c r="G56" s="37">
        <v>55</v>
      </c>
      <c r="H56" s="37">
        <v>850</v>
      </c>
      <c r="I56" s="37">
        <v>565</v>
      </c>
      <c r="J56" s="37">
        <v>5</v>
      </c>
      <c r="K56" s="37">
        <v>35</v>
      </c>
      <c r="L56" s="37">
        <v>0</v>
      </c>
    </row>
    <row r="57" spans="1:12">
      <c r="A57">
        <v>2023</v>
      </c>
      <c r="B57" t="s">
        <v>508</v>
      </c>
      <c r="C57" t="s">
        <v>510</v>
      </c>
      <c r="D57" s="37">
        <v>0</v>
      </c>
      <c r="E57" s="37">
        <v>0</v>
      </c>
      <c r="F57" s="37">
        <v>0</v>
      </c>
      <c r="G57" s="37">
        <v>0</v>
      </c>
      <c r="H57" s="37">
        <v>0</v>
      </c>
      <c r="I57" s="37">
        <v>0</v>
      </c>
      <c r="J57" s="37">
        <v>0</v>
      </c>
      <c r="K57" s="37">
        <v>0</v>
      </c>
      <c r="L57" s="37">
        <v>0</v>
      </c>
    </row>
    <row r="58" spans="1:12">
      <c r="A58">
        <v>2023</v>
      </c>
      <c r="B58" t="s">
        <v>508</v>
      </c>
      <c r="C58" t="s">
        <v>511</v>
      </c>
      <c r="D58" s="37">
        <v>0</v>
      </c>
      <c r="E58" s="37">
        <v>5</v>
      </c>
      <c r="F58" s="37">
        <v>5</v>
      </c>
      <c r="G58" s="37">
        <v>10</v>
      </c>
      <c r="H58" s="37">
        <v>5</v>
      </c>
      <c r="I58" s="37">
        <v>0</v>
      </c>
      <c r="J58" s="37">
        <v>0</v>
      </c>
      <c r="K58" s="37">
        <v>0</v>
      </c>
      <c r="L58" s="37">
        <v>0</v>
      </c>
    </row>
    <row r="59" spans="1:12">
      <c r="A59">
        <v>2023</v>
      </c>
      <c r="B59" t="s">
        <v>512</v>
      </c>
      <c r="C59" t="s">
        <v>509</v>
      </c>
      <c r="D59" s="37">
        <v>50</v>
      </c>
      <c r="E59" s="37">
        <v>35</v>
      </c>
      <c r="F59" s="37">
        <v>1225</v>
      </c>
      <c r="G59" s="37">
        <v>75</v>
      </c>
      <c r="H59" s="37">
        <v>3630</v>
      </c>
      <c r="I59" s="37">
        <v>1500</v>
      </c>
      <c r="J59" s="37">
        <v>5</v>
      </c>
      <c r="K59" s="37">
        <v>125</v>
      </c>
      <c r="L59" s="37">
        <v>0</v>
      </c>
    </row>
    <row r="60" spans="1:12">
      <c r="A60">
        <v>2023</v>
      </c>
      <c r="B60" t="s">
        <v>512</v>
      </c>
      <c r="C60" t="s">
        <v>510</v>
      </c>
      <c r="D60" s="37">
        <v>0</v>
      </c>
      <c r="E60" s="37">
        <v>0</v>
      </c>
      <c r="F60" s="37">
        <v>0</v>
      </c>
      <c r="G60" s="37">
        <v>0</v>
      </c>
      <c r="H60" s="37">
        <v>0</v>
      </c>
      <c r="I60" s="37">
        <v>0</v>
      </c>
      <c r="J60" s="37">
        <v>0</v>
      </c>
      <c r="K60" s="37">
        <v>0</v>
      </c>
      <c r="L60" s="37">
        <v>0</v>
      </c>
    </row>
    <row r="61" spans="1:12">
      <c r="A61">
        <v>2023</v>
      </c>
      <c r="B61" t="s">
        <v>512</v>
      </c>
      <c r="C61" t="s">
        <v>511</v>
      </c>
      <c r="D61" s="37">
        <v>0</v>
      </c>
      <c r="E61" s="37">
        <v>0</v>
      </c>
      <c r="F61" s="37">
        <v>0</v>
      </c>
      <c r="G61" s="37">
        <v>15</v>
      </c>
      <c r="H61" s="37">
        <v>5</v>
      </c>
      <c r="I61" s="37">
        <v>0</v>
      </c>
      <c r="J61" s="37">
        <v>0</v>
      </c>
      <c r="K61" s="37">
        <v>0</v>
      </c>
      <c r="L61" s="37">
        <v>0</v>
      </c>
    </row>
    <row r="62" spans="1:12">
      <c r="A62">
        <v>2024</v>
      </c>
      <c r="B62" t="s">
        <v>508</v>
      </c>
      <c r="C62" t="s">
        <v>509</v>
      </c>
      <c r="D62" s="37">
        <v>0</v>
      </c>
      <c r="E62" s="37">
        <v>0</v>
      </c>
      <c r="F62" s="37">
        <v>125</v>
      </c>
      <c r="G62" s="37">
        <v>35</v>
      </c>
      <c r="H62" s="37">
        <v>795</v>
      </c>
      <c r="I62" s="37">
        <v>850</v>
      </c>
      <c r="J62" s="37">
        <v>5</v>
      </c>
      <c r="K62" s="37">
        <v>40</v>
      </c>
      <c r="L62" s="37">
        <v>0</v>
      </c>
    </row>
    <row r="63" spans="1:12">
      <c r="A63">
        <v>2024</v>
      </c>
      <c r="B63" t="s">
        <v>508</v>
      </c>
      <c r="C63" t="s">
        <v>510</v>
      </c>
      <c r="D63" s="37">
        <v>0</v>
      </c>
      <c r="E63" s="37">
        <v>0</v>
      </c>
      <c r="F63" s="37">
        <v>0</v>
      </c>
      <c r="G63" s="37">
        <v>0</v>
      </c>
      <c r="H63" s="37">
        <v>0</v>
      </c>
      <c r="I63" s="37">
        <v>0</v>
      </c>
      <c r="J63" s="37">
        <v>0</v>
      </c>
      <c r="K63" s="37">
        <v>0</v>
      </c>
      <c r="L63" s="37">
        <v>0</v>
      </c>
    </row>
    <row r="64" spans="1:12">
      <c r="A64">
        <v>2024</v>
      </c>
      <c r="B64" t="s">
        <v>508</v>
      </c>
      <c r="C64" t="s">
        <v>511</v>
      </c>
      <c r="D64" s="37">
        <v>0</v>
      </c>
      <c r="E64" s="37">
        <v>5</v>
      </c>
      <c r="F64" s="37">
        <v>0</v>
      </c>
      <c r="G64" s="37">
        <v>10</v>
      </c>
      <c r="H64" s="37">
        <v>5</v>
      </c>
      <c r="I64" s="37">
        <v>0</v>
      </c>
      <c r="J64" s="37">
        <v>0</v>
      </c>
      <c r="K64" s="37">
        <v>0</v>
      </c>
      <c r="L64" s="37">
        <v>0</v>
      </c>
    </row>
    <row r="65" spans="1:12">
      <c r="A65">
        <v>2024</v>
      </c>
      <c r="B65" t="s">
        <v>512</v>
      </c>
      <c r="C65" t="s">
        <v>509</v>
      </c>
      <c r="D65" s="37">
        <v>80</v>
      </c>
      <c r="E65" s="37">
        <v>45</v>
      </c>
      <c r="F65" s="37">
        <v>1195</v>
      </c>
      <c r="G65" s="37">
        <v>60</v>
      </c>
      <c r="H65" s="37">
        <v>3480</v>
      </c>
      <c r="I65" s="37">
        <v>1930</v>
      </c>
      <c r="J65" s="37">
        <v>15</v>
      </c>
      <c r="K65" s="37">
        <v>220</v>
      </c>
      <c r="L65" s="37">
        <v>0</v>
      </c>
    </row>
    <row r="66" spans="1:12">
      <c r="A66">
        <v>2024</v>
      </c>
      <c r="B66" t="s">
        <v>512</v>
      </c>
      <c r="C66" t="s">
        <v>510</v>
      </c>
      <c r="D66" s="37">
        <v>0</v>
      </c>
      <c r="E66" s="37">
        <v>0</v>
      </c>
      <c r="F66" s="37">
        <v>0</v>
      </c>
      <c r="G66" s="37">
        <v>0</v>
      </c>
      <c r="H66" s="37">
        <v>0</v>
      </c>
      <c r="I66" s="37">
        <v>0</v>
      </c>
      <c r="J66" s="37">
        <v>0</v>
      </c>
      <c r="K66" s="37">
        <v>0</v>
      </c>
      <c r="L66" s="37">
        <v>0</v>
      </c>
    </row>
    <row r="67" spans="1:12">
      <c r="A67">
        <v>2024</v>
      </c>
      <c r="B67" t="s">
        <v>512</v>
      </c>
      <c r="C67" t="s">
        <v>511</v>
      </c>
      <c r="D67" s="37">
        <v>0</v>
      </c>
      <c r="E67" s="37">
        <v>0</v>
      </c>
      <c r="F67" s="37">
        <v>0</v>
      </c>
      <c r="G67" s="37">
        <v>10</v>
      </c>
      <c r="H67" s="37">
        <v>10</v>
      </c>
      <c r="I67" s="37">
        <v>0</v>
      </c>
      <c r="J67" s="37">
        <v>0</v>
      </c>
      <c r="K67" s="37">
        <v>0</v>
      </c>
      <c r="L67" s="37">
        <v>0</v>
      </c>
    </row>
    <row r="70" spans="1:12">
      <c r="A70" s="13" t="s">
        <v>513</v>
      </c>
    </row>
    <row r="72" spans="1:12">
      <c r="A72" t="s">
        <v>159</v>
      </c>
      <c r="B72" t="s">
        <v>206</v>
      </c>
      <c r="C72" s="13" t="s">
        <v>498</v>
      </c>
      <c r="D72" t="s">
        <v>499</v>
      </c>
      <c r="E72" t="s">
        <v>500</v>
      </c>
      <c r="F72" t="s">
        <v>501</v>
      </c>
      <c r="G72" t="s">
        <v>502</v>
      </c>
      <c r="H72" t="s">
        <v>503</v>
      </c>
      <c r="I72" t="s">
        <v>504</v>
      </c>
      <c r="J72" t="s">
        <v>505</v>
      </c>
      <c r="K72" t="s">
        <v>506</v>
      </c>
      <c r="L72" t="s">
        <v>507</v>
      </c>
    </row>
    <row r="73" spans="1:12">
      <c r="A73">
        <v>2015</v>
      </c>
      <c r="B73" t="s">
        <v>508</v>
      </c>
      <c r="C73" t="s">
        <v>514</v>
      </c>
      <c r="D73">
        <f>SUMIFS(Table26[Level 2 Certificates],Table26[Year],Table27[[#This Row],[Year]],Table26[Group],Table27[[#This Row],[Group]])</f>
        <v>0</v>
      </c>
      <c r="E73">
        <f>SUMIFS(Table26[Level 3 Certificates],Table26[Year],Table27[[#This Row],[Year]],Table26[Group],Table27[[#This Row],[Group]])</f>
        <v>135</v>
      </c>
      <c r="F73">
        <f>SUMIFS(Table26[Level 4 Certificates],Table26[Year],Table27[[#This Row],[Year]],Table26[Group],Table27[[#This Row],[Group]])</f>
        <v>5</v>
      </c>
      <c r="G73">
        <f>SUMIFS(Table26[Level 5-7 Certificates and Diplomas],Table26[Year],Table27[[#This Row],[Year]],Table26[Group],Table27[[#This Row],[Group]])</f>
        <v>385</v>
      </c>
      <c r="H73">
        <f>SUMIFS(Table26[Level 7 Bachelor''s Degrees],Table26[Year],Table27[[#This Row],[Year]],Table26[Group],Table27[[#This Row],[Group]])</f>
        <v>1235</v>
      </c>
      <c r="I73">
        <f>SUMIFS(Table26[Level 7 Graduate Certificates and Diplomas],Table26[Year],Table27[[#This Row],[Year]],Table26[Group],Table27[[#This Row],[Group]])</f>
        <v>265</v>
      </c>
      <c r="J73">
        <f>SUMIFS(Table26[Level 8 Honours, Post-graduate Certificates, and Post-graduate Diplomas],Table26[Year],Table27[[#This Row],[Year]],Table26[Group],Table27[[#This Row],[Group]])</f>
        <v>0</v>
      </c>
      <c r="K73">
        <f>SUMIFS(Table26[Level 9 Master''s Degrees],Table26[Year],Table27[[#This Row],[Year]],Table26[Group],Table27[[#This Row],[Group]])</f>
        <v>0</v>
      </c>
      <c r="L73">
        <f>SUMIFS(Table26[Level 10 Doctorates],Table26[Year],Table27[[#This Row],[Year]],Table26[Group],Table27[[#This Row],[Group]])</f>
        <v>0</v>
      </c>
    </row>
    <row r="74" spans="1:12">
      <c r="A74">
        <v>2015</v>
      </c>
      <c r="B74" t="s">
        <v>512</v>
      </c>
      <c r="C74" t="s">
        <v>514</v>
      </c>
      <c r="D74">
        <f>SUMIFS(Table26[Level 2 Certificates],Table26[Year],Table27[[#This Row],[Year]],Table26[Group],Table27[[#This Row],[Group]])</f>
        <v>40</v>
      </c>
      <c r="E74">
        <f>SUMIFS(Table26[Level 3 Certificates],Table26[Year],Table27[[#This Row],[Year]],Table26[Group],Table27[[#This Row],[Group]])</f>
        <v>175</v>
      </c>
      <c r="F74">
        <f>SUMIFS(Table26[Level 4 Certificates],Table26[Year],Table27[[#This Row],[Year]],Table26[Group],Table27[[#This Row],[Group]])</f>
        <v>5</v>
      </c>
      <c r="G74">
        <f>SUMIFS(Table26[Level 5-7 Certificates and Diplomas],Table26[Year],Table27[[#This Row],[Year]],Table26[Group],Table27[[#This Row],[Group]])</f>
        <v>2000</v>
      </c>
      <c r="H74">
        <f>SUMIFS(Table26[Level 7 Bachelor''s Degrees],Table26[Year],Table27[[#This Row],[Year]],Table26[Group],Table27[[#This Row],[Group]])</f>
        <v>4740</v>
      </c>
      <c r="I74">
        <f>SUMIFS(Table26[Level 7 Graduate Certificates and Diplomas],Table26[Year],Table27[[#This Row],[Year]],Table26[Group],Table27[[#This Row],[Group]])</f>
        <v>610</v>
      </c>
      <c r="J74">
        <f>SUMIFS(Table26[Level 8 Honours, Post-graduate Certificates, and Post-graduate Diplomas],Table26[Year],Table27[[#This Row],[Year]],Table26[Group],Table27[[#This Row],[Group]])</f>
        <v>0</v>
      </c>
      <c r="K74">
        <f>SUMIFS(Table26[Level 9 Master''s Degrees],Table26[Year],Table27[[#This Row],[Year]],Table26[Group],Table27[[#This Row],[Group]])</f>
        <v>0</v>
      </c>
      <c r="L74">
        <f>SUMIFS(Table26[Level 10 Doctorates],Table26[Year],Table27[[#This Row],[Year]],Table26[Group],Table27[[#This Row],[Group]])</f>
        <v>0</v>
      </c>
    </row>
    <row r="75" spans="1:12">
      <c r="A75">
        <v>2016</v>
      </c>
      <c r="B75" t="s">
        <v>508</v>
      </c>
      <c r="C75" t="s">
        <v>514</v>
      </c>
      <c r="D75">
        <f>SUMIFS(Table26[Level 2 Certificates],Table26[Year],Table27[[#This Row],[Year]],Table26[Group],Table27[[#This Row],[Group]])</f>
        <v>5</v>
      </c>
      <c r="E75">
        <f>SUMIFS(Table26[Level 3 Certificates],Table26[Year],Table27[[#This Row],[Year]],Table26[Group],Table27[[#This Row],[Group]])</f>
        <v>95</v>
      </c>
      <c r="F75">
        <f>SUMIFS(Table26[Level 4 Certificates],Table26[Year],Table27[[#This Row],[Year]],Table26[Group],Table27[[#This Row],[Group]])</f>
        <v>0</v>
      </c>
      <c r="G75">
        <f>SUMIFS(Table26[Level 5-7 Certificates and Diplomas],Table26[Year],Table27[[#This Row],[Year]],Table26[Group],Table27[[#This Row],[Group]])</f>
        <v>505</v>
      </c>
      <c r="H75">
        <f>SUMIFS(Table26[Level 7 Bachelor''s Degrees],Table26[Year],Table27[[#This Row],[Year]],Table26[Group],Table27[[#This Row],[Group]])</f>
        <v>1025</v>
      </c>
      <c r="I75">
        <f>SUMIFS(Table26[Level 7 Graduate Certificates and Diplomas],Table26[Year],Table27[[#This Row],[Year]],Table26[Group],Table27[[#This Row],[Group]])</f>
        <v>225</v>
      </c>
      <c r="J75">
        <f>SUMIFS(Table26[Level 8 Honours, Post-graduate Certificates, and Post-graduate Diplomas],Table26[Year],Table27[[#This Row],[Year]],Table26[Group],Table27[[#This Row],[Group]])</f>
        <v>0</v>
      </c>
      <c r="K75">
        <f>SUMIFS(Table26[Level 9 Master''s Degrees],Table26[Year],Table27[[#This Row],[Year]],Table26[Group],Table27[[#This Row],[Group]])</f>
        <v>0</v>
      </c>
      <c r="L75">
        <f>SUMIFS(Table26[Level 10 Doctorates],Table26[Year],Table27[[#This Row],[Year]],Table26[Group],Table27[[#This Row],[Group]])</f>
        <v>0</v>
      </c>
    </row>
    <row r="76" spans="1:12">
      <c r="A76">
        <v>2016</v>
      </c>
      <c r="B76" t="s">
        <v>512</v>
      </c>
      <c r="C76" t="s">
        <v>514</v>
      </c>
      <c r="D76">
        <f>SUMIFS(Table26[Level 2 Certificates],Table26[Year],Table27[[#This Row],[Year]],Table26[Group],Table27[[#This Row],[Group]])</f>
        <v>20</v>
      </c>
      <c r="E76">
        <f>SUMIFS(Table26[Level 3 Certificates],Table26[Year],Table27[[#This Row],[Year]],Table26[Group],Table27[[#This Row],[Group]])</f>
        <v>170</v>
      </c>
      <c r="F76">
        <f>SUMIFS(Table26[Level 4 Certificates],Table26[Year],Table27[[#This Row],[Year]],Table26[Group],Table27[[#This Row],[Group]])</f>
        <v>0</v>
      </c>
      <c r="G76">
        <f>SUMIFS(Table26[Level 5-7 Certificates and Diplomas],Table26[Year],Table27[[#This Row],[Year]],Table26[Group],Table27[[#This Row],[Group]])</f>
        <v>1945</v>
      </c>
      <c r="H76">
        <f>SUMIFS(Table26[Level 7 Bachelor''s Degrees],Table26[Year],Table27[[#This Row],[Year]],Table26[Group],Table27[[#This Row],[Group]])</f>
        <v>4095</v>
      </c>
      <c r="I76">
        <f>SUMIFS(Table26[Level 7 Graduate Certificates and Diplomas],Table26[Year],Table27[[#This Row],[Year]],Table26[Group],Table27[[#This Row],[Group]])</f>
        <v>630</v>
      </c>
      <c r="J76">
        <f>SUMIFS(Table26[Level 8 Honours, Post-graduate Certificates, and Post-graduate Diplomas],Table26[Year],Table27[[#This Row],[Year]],Table26[Group],Table27[[#This Row],[Group]])</f>
        <v>5</v>
      </c>
      <c r="K76">
        <f>SUMIFS(Table26[Level 9 Master''s Degrees],Table26[Year],Table27[[#This Row],[Year]],Table26[Group],Table27[[#This Row],[Group]])</f>
        <v>15</v>
      </c>
      <c r="L76">
        <f>SUMIFS(Table26[Level 10 Doctorates],Table26[Year],Table27[[#This Row],[Year]],Table26[Group],Table27[[#This Row],[Group]])</f>
        <v>0</v>
      </c>
    </row>
    <row r="77" spans="1:12">
      <c r="A77">
        <v>2017</v>
      </c>
      <c r="B77" t="s">
        <v>508</v>
      </c>
      <c r="C77" t="s">
        <v>514</v>
      </c>
      <c r="D77">
        <f>SUMIFS(Table26[Level 2 Certificates],Table26[Year],Table27[[#This Row],[Year]],Table26[Group],Table27[[#This Row],[Group]])</f>
        <v>0</v>
      </c>
      <c r="E77">
        <f>SUMIFS(Table26[Level 3 Certificates],Table26[Year],Table27[[#This Row],[Year]],Table26[Group],Table27[[#This Row],[Group]])</f>
        <v>10</v>
      </c>
      <c r="F77">
        <f>SUMIFS(Table26[Level 4 Certificates],Table26[Year],Table27[[#This Row],[Year]],Table26[Group],Table27[[#This Row],[Group]])</f>
        <v>0</v>
      </c>
      <c r="G77">
        <f>SUMIFS(Table26[Level 5-7 Certificates and Diplomas],Table26[Year],Table27[[#This Row],[Year]],Table26[Group],Table27[[#This Row],[Group]])</f>
        <v>360</v>
      </c>
      <c r="H77">
        <f>SUMIFS(Table26[Level 7 Bachelor''s Degrees],Table26[Year],Table27[[#This Row],[Year]],Table26[Group],Table27[[#This Row],[Group]])</f>
        <v>985</v>
      </c>
      <c r="I77">
        <f>SUMIFS(Table26[Level 7 Graduate Certificates and Diplomas],Table26[Year],Table27[[#This Row],[Year]],Table26[Group],Table27[[#This Row],[Group]])</f>
        <v>340</v>
      </c>
      <c r="J77">
        <f>SUMIFS(Table26[Level 8 Honours, Post-graduate Certificates, and Post-graduate Diplomas],Table26[Year],Table27[[#This Row],[Year]],Table26[Group],Table27[[#This Row],[Group]])</f>
        <v>0</v>
      </c>
      <c r="K77">
        <f>SUMIFS(Table26[Level 9 Master''s Degrees],Table26[Year],Table27[[#This Row],[Year]],Table26[Group],Table27[[#This Row],[Group]])</f>
        <v>5</v>
      </c>
      <c r="L77">
        <f>SUMIFS(Table26[Level 10 Doctorates],Table26[Year],Table27[[#This Row],[Year]],Table26[Group],Table27[[#This Row],[Group]])</f>
        <v>0</v>
      </c>
    </row>
    <row r="78" spans="1:12">
      <c r="A78">
        <v>2017</v>
      </c>
      <c r="B78" t="s">
        <v>512</v>
      </c>
      <c r="C78" t="s">
        <v>514</v>
      </c>
      <c r="D78">
        <f>SUMIFS(Table26[Level 2 Certificates],Table26[Year],Table27[[#This Row],[Year]],Table26[Group],Table27[[#This Row],[Group]])</f>
        <v>0</v>
      </c>
      <c r="E78">
        <f>SUMIFS(Table26[Level 3 Certificates],Table26[Year],Table27[[#This Row],[Year]],Table26[Group],Table27[[#This Row],[Group]])</f>
        <v>5</v>
      </c>
      <c r="F78">
        <f>SUMIFS(Table26[Level 4 Certificates],Table26[Year],Table27[[#This Row],[Year]],Table26[Group],Table27[[#This Row],[Group]])</f>
        <v>15</v>
      </c>
      <c r="G78">
        <f>SUMIFS(Table26[Level 5-7 Certificates and Diplomas],Table26[Year],Table27[[#This Row],[Year]],Table26[Group],Table27[[#This Row],[Group]])</f>
        <v>1665</v>
      </c>
      <c r="H78">
        <f>SUMIFS(Table26[Level 7 Bachelor''s Degrees],Table26[Year],Table27[[#This Row],[Year]],Table26[Group],Table27[[#This Row],[Group]])</f>
        <v>3765</v>
      </c>
      <c r="I78">
        <f>SUMIFS(Table26[Level 7 Graduate Certificates and Diplomas],Table26[Year],Table27[[#This Row],[Year]],Table26[Group],Table27[[#This Row],[Group]])</f>
        <v>705</v>
      </c>
      <c r="J78">
        <f>SUMIFS(Table26[Level 8 Honours, Post-graduate Certificates, and Post-graduate Diplomas],Table26[Year],Table27[[#This Row],[Year]],Table26[Group],Table27[[#This Row],[Group]])</f>
        <v>0</v>
      </c>
      <c r="K78">
        <f>SUMIFS(Table26[Level 9 Master''s Degrees],Table26[Year],Table27[[#This Row],[Year]],Table26[Group],Table27[[#This Row],[Group]])</f>
        <v>20</v>
      </c>
      <c r="L78">
        <f>SUMIFS(Table26[Level 10 Doctorates],Table26[Year],Table27[[#This Row],[Year]],Table26[Group],Table27[[#This Row],[Group]])</f>
        <v>0</v>
      </c>
    </row>
    <row r="79" spans="1:12">
      <c r="A79">
        <v>2018</v>
      </c>
      <c r="B79" t="s">
        <v>508</v>
      </c>
      <c r="C79" t="s">
        <v>514</v>
      </c>
      <c r="D79">
        <f>SUMIFS(Table26[Level 2 Certificates],Table26[Year],Table27[[#This Row],[Year]],Table26[Group],Table27[[#This Row],[Group]])</f>
        <v>0</v>
      </c>
      <c r="E79">
        <f>SUMIFS(Table26[Level 3 Certificates],Table26[Year],Table27[[#This Row],[Year]],Table26[Group],Table27[[#This Row],[Group]])</f>
        <v>0</v>
      </c>
      <c r="F79">
        <f>SUMIFS(Table26[Level 4 Certificates],Table26[Year],Table27[[#This Row],[Year]],Table26[Group],Table27[[#This Row],[Group]])</f>
        <v>0</v>
      </c>
      <c r="G79">
        <f>SUMIFS(Table26[Level 5-7 Certificates and Diplomas],Table26[Year],Table27[[#This Row],[Year]],Table26[Group],Table27[[#This Row],[Group]])</f>
        <v>255</v>
      </c>
      <c r="H79">
        <f>SUMIFS(Table26[Level 7 Bachelor''s Degrees],Table26[Year],Table27[[#This Row],[Year]],Table26[Group],Table27[[#This Row],[Group]])</f>
        <v>780</v>
      </c>
      <c r="I79">
        <f>SUMIFS(Table26[Level 7 Graduate Certificates and Diplomas],Table26[Year],Table27[[#This Row],[Year]],Table26[Group],Table27[[#This Row],[Group]])</f>
        <v>340</v>
      </c>
      <c r="J79">
        <f>SUMIFS(Table26[Level 8 Honours, Post-graduate Certificates, and Post-graduate Diplomas],Table26[Year],Table27[[#This Row],[Year]],Table26[Group],Table27[[#This Row],[Group]])</f>
        <v>0</v>
      </c>
      <c r="K79">
        <f>SUMIFS(Table26[Level 9 Master''s Degrees],Table26[Year],Table27[[#This Row],[Year]],Table26[Group],Table27[[#This Row],[Group]])</f>
        <v>5</v>
      </c>
      <c r="L79">
        <f>SUMIFS(Table26[Level 10 Doctorates],Table26[Year],Table27[[#This Row],[Year]],Table26[Group],Table27[[#This Row],[Group]])</f>
        <v>0</v>
      </c>
    </row>
    <row r="80" spans="1:12">
      <c r="A80">
        <v>2018</v>
      </c>
      <c r="B80" t="s">
        <v>512</v>
      </c>
      <c r="C80" t="s">
        <v>514</v>
      </c>
      <c r="D80">
        <f>SUMIFS(Table26[Level 2 Certificates],Table26[Year],Table27[[#This Row],[Year]],Table26[Group],Table27[[#This Row],[Group]])</f>
        <v>0</v>
      </c>
      <c r="E80">
        <f>SUMIFS(Table26[Level 3 Certificates],Table26[Year],Table27[[#This Row],[Year]],Table26[Group],Table27[[#This Row],[Group]])</f>
        <v>0</v>
      </c>
      <c r="F80">
        <f>SUMIFS(Table26[Level 4 Certificates],Table26[Year],Table27[[#This Row],[Year]],Table26[Group],Table27[[#This Row],[Group]])</f>
        <v>465</v>
      </c>
      <c r="G80">
        <f>SUMIFS(Table26[Level 5-7 Certificates and Diplomas],Table26[Year],Table27[[#This Row],[Year]],Table26[Group],Table27[[#This Row],[Group]])</f>
        <v>1365</v>
      </c>
      <c r="H80">
        <f>SUMIFS(Table26[Level 7 Bachelor''s Degrees],Table26[Year],Table27[[#This Row],[Year]],Table26[Group],Table27[[#This Row],[Group]])</f>
        <v>3980</v>
      </c>
      <c r="I80">
        <f>SUMIFS(Table26[Level 7 Graduate Certificates and Diplomas],Table26[Year],Table27[[#This Row],[Year]],Table26[Group],Table27[[#This Row],[Group]])</f>
        <v>785</v>
      </c>
      <c r="J80">
        <f>SUMIFS(Table26[Level 8 Honours, Post-graduate Certificates, and Post-graduate Diplomas],Table26[Year],Table27[[#This Row],[Year]],Table26[Group],Table27[[#This Row],[Group]])</f>
        <v>0</v>
      </c>
      <c r="K80">
        <f>SUMIFS(Table26[Level 9 Master''s Degrees],Table26[Year],Table27[[#This Row],[Year]],Table26[Group],Table27[[#This Row],[Group]])</f>
        <v>5</v>
      </c>
      <c r="L80">
        <f>SUMIFS(Table26[Level 10 Doctorates],Table26[Year],Table27[[#This Row],[Year]],Table26[Group],Table27[[#This Row],[Group]])</f>
        <v>0</v>
      </c>
    </row>
    <row r="81" spans="1:12">
      <c r="A81">
        <v>2019</v>
      </c>
      <c r="B81" t="s">
        <v>508</v>
      </c>
      <c r="C81" t="s">
        <v>514</v>
      </c>
      <c r="D81">
        <f>SUMIFS(Table26[Level 2 Certificates],Table26[Year],Table27[[#This Row],[Year]],Table26[Group],Table27[[#This Row],[Group]])</f>
        <v>0</v>
      </c>
      <c r="E81">
        <f>SUMIFS(Table26[Level 3 Certificates],Table26[Year],Table27[[#This Row],[Year]],Table26[Group],Table27[[#This Row],[Group]])</f>
        <v>0</v>
      </c>
      <c r="F81">
        <f>SUMIFS(Table26[Level 4 Certificates],Table26[Year],Table27[[#This Row],[Year]],Table26[Group],Table27[[#This Row],[Group]])</f>
        <v>0</v>
      </c>
      <c r="G81">
        <f>SUMIFS(Table26[Level 5-7 Certificates and Diplomas],Table26[Year],Table27[[#This Row],[Year]],Table26[Group],Table27[[#This Row],[Group]])</f>
        <v>180</v>
      </c>
      <c r="H81">
        <f>SUMIFS(Table26[Level 7 Bachelor''s Degrees],Table26[Year],Table27[[#This Row],[Year]],Table26[Group],Table27[[#This Row],[Group]])</f>
        <v>750</v>
      </c>
      <c r="I81">
        <f>SUMIFS(Table26[Level 7 Graduate Certificates and Diplomas],Table26[Year],Table27[[#This Row],[Year]],Table26[Group],Table27[[#This Row],[Group]])</f>
        <v>380</v>
      </c>
      <c r="J81">
        <f>SUMIFS(Table26[Level 8 Honours, Post-graduate Certificates, and Post-graduate Diplomas],Table26[Year],Table27[[#This Row],[Year]],Table26[Group],Table27[[#This Row],[Group]])</f>
        <v>0</v>
      </c>
      <c r="K81">
        <f>SUMIFS(Table26[Level 9 Master''s Degrees],Table26[Year],Table27[[#This Row],[Year]],Table26[Group],Table27[[#This Row],[Group]])</f>
        <v>5</v>
      </c>
      <c r="L81">
        <f>SUMIFS(Table26[Level 10 Doctorates],Table26[Year],Table27[[#This Row],[Year]],Table26[Group],Table27[[#This Row],[Group]])</f>
        <v>0</v>
      </c>
    </row>
    <row r="82" spans="1:12">
      <c r="A82">
        <v>2019</v>
      </c>
      <c r="B82" t="s">
        <v>512</v>
      </c>
      <c r="C82" t="s">
        <v>514</v>
      </c>
      <c r="D82">
        <f>SUMIFS(Table26[Level 2 Certificates],Table26[Year],Table27[[#This Row],[Year]],Table26[Group],Table27[[#This Row],[Group]])</f>
        <v>15</v>
      </c>
      <c r="E82">
        <f>SUMIFS(Table26[Level 3 Certificates],Table26[Year],Table27[[#This Row],[Year]],Table26[Group],Table27[[#This Row],[Group]])</f>
        <v>0</v>
      </c>
      <c r="F82">
        <f>SUMIFS(Table26[Level 4 Certificates],Table26[Year],Table27[[#This Row],[Year]],Table26[Group],Table27[[#This Row],[Group]])</f>
        <v>1690</v>
      </c>
      <c r="G82">
        <f>SUMIFS(Table26[Level 5-7 Certificates and Diplomas],Table26[Year],Table27[[#This Row],[Year]],Table26[Group],Table27[[#This Row],[Group]])</f>
        <v>770</v>
      </c>
      <c r="H82">
        <f>SUMIFS(Table26[Level 7 Bachelor''s Degrees],Table26[Year],Table27[[#This Row],[Year]],Table26[Group],Table27[[#This Row],[Group]])</f>
        <v>4145</v>
      </c>
      <c r="I82">
        <f>SUMIFS(Table26[Level 7 Graduate Certificates and Diplomas],Table26[Year],Table27[[#This Row],[Year]],Table26[Group],Table27[[#This Row],[Group]])</f>
        <v>1030</v>
      </c>
      <c r="J82">
        <f>SUMIFS(Table26[Level 8 Honours, Post-graduate Certificates, and Post-graduate Diplomas],Table26[Year],Table27[[#This Row],[Year]],Table26[Group],Table27[[#This Row],[Group]])</f>
        <v>0</v>
      </c>
      <c r="K82">
        <f>SUMIFS(Table26[Level 9 Master''s Degrees],Table26[Year],Table27[[#This Row],[Year]],Table26[Group],Table27[[#This Row],[Group]])</f>
        <v>5</v>
      </c>
      <c r="L82">
        <f>SUMIFS(Table26[Level 10 Doctorates],Table26[Year],Table27[[#This Row],[Year]],Table26[Group],Table27[[#This Row],[Group]])</f>
        <v>0</v>
      </c>
    </row>
    <row r="83" spans="1:12">
      <c r="A83">
        <v>2020</v>
      </c>
      <c r="B83" t="s">
        <v>508</v>
      </c>
      <c r="C83" t="s">
        <v>514</v>
      </c>
      <c r="D83">
        <f>SUMIFS(Table26[Level 2 Certificates],Table26[Year],Table27[[#This Row],[Year]],Table26[Group],Table27[[#This Row],[Group]])</f>
        <v>0</v>
      </c>
      <c r="E83">
        <f>SUMIFS(Table26[Level 3 Certificates],Table26[Year],Table27[[#This Row],[Year]],Table26[Group],Table27[[#This Row],[Group]])</f>
        <v>0</v>
      </c>
      <c r="F83">
        <f>SUMIFS(Table26[Level 4 Certificates],Table26[Year],Table27[[#This Row],[Year]],Table26[Group],Table27[[#This Row],[Group]])</f>
        <v>0</v>
      </c>
      <c r="G83">
        <f>SUMIFS(Table26[Level 5-7 Certificates and Diplomas],Table26[Year],Table27[[#This Row],[Year]],Table26[Group],Table27[[#This Row],[Group]])</f>
        <v>130</v>
      </c>
      <c r="H83">
        <f>SUMIFS(Table26[Level 7 Bachelor''s Degrees],Table26[Year],Table27[[#This Row],[Year]],Table26[Group],Table27[[#This Row],[Group]])</f>
        <v>790</v>
      </c>
      <c r="I83">
        <f>SUMIFS(Table26[Level 7 Graduate Certificates and Diplomas],Table26[Year],Table27[[#This Row],[Year]],Table26[Group],Table27[[#This Row],[Group]])</f>
        <v>585</v>
      </c>
      <c r="J83">
        <f>SUMIFS(Table26[Level 8 Honours, Post-graduate Certificates, and Post-graduate Diplomas],Table26[Year],Table27[[#This Row],[Year]],Table26[Group],Table27[[#This Row],[Group]])</f>
        <v>0</v>
      </c>
      <c r="K83">
        <f>SUMIFS(Table26[Level 9 Master''s Degrees],Table26[Year],Table27[[#This Row],[Year]],Table26[Group],Table27[[#This Row],[Group]])</f>
        <v>5</v>
      </c>
      <c r="L83">
        <f>SUMIFS(Table26[Level 10 Doctorates],Table26[Year],Table27[[#This Row],[Year]],Table26[Group],Table27[[#This Row],[Group]])</f>
        <v>0</v>
      </c>
    </row>
    <row r="84" spans="1:12">
      <c r="A84">
        <v>2020</v>
      </c>
      <c r="B84" t="s">
        <v>512</v>
      </c>
      <c r="C84" t="s">
        <v>514</v>
      </c>
      <c r="D84">
        <f>SUMIFS(Table26[Level 2 Certificates],Table26[Year],Table27[[#This Row],[Year]],Table26[Group],Table27[[#This Row],[Group]])</f>
        <v>25</v>
      </c>
      <c r="E84">
        <f>SUMIFS(Table26[Level 3 Certificates],Table26[Year],Table27[[#This Row],[Year]],Table26[Group],Table27[[#This Row],[Group]])</f>
        <v>25</v>
      </c>
      <c r="F84">
        <f>SUMIFS(Table26[Level 4 Certificates],Table26[Year],Table27[[#This Row],[Year]],Table26[Group],Table27[[#This Row],[Group]])</f>
        <v>2150</v>
      </c>
      <c r="G84">
        <f>SUMIFS(Table26[Level 5-7 Certificates and Diplomas],Table26[Year],Table27[[#This Row],[Year]],Table26[Group],Table27[[#This Row],[Group]])</f>
        <v>230</v>
      </c>
      <c r="H84">
        <f>SUMIFS(Table26[Level 7 Bachelor''s Degrees],Table26[Year],Table27[[#This Row],[Year]],Table26[Group],Table27[[#This Row],[Group]])</f>
        <v>4100</v>
      </c>
      <c r="I84">
        <f>SUMIFS(Table26[Level 7 Graduate Certificates and Diplomas],Table26[Year],Table27[[#This Row],[Year]],Table26[Group],Table27[[#This Row],[Group]])</f>
        <v>1415</v>
      </c>
      <c r="J84">
        <f>SUMIFS(Table26[Level 8 Honours, Post-graduate Certificates, and Post-graduate Diplomas],Table26[Year],Table27[[#This Row],[Year]],Table26[Group],Table27[[#This Row],[Group]])</f>
        <v>5</v>
      </c>
      <c r="K84">
        <f>SUMIFS(Table26[Level 9 Master''s Degrees],Table26[Year],Table27[[#This Row],[Year]],Table26[Group],Table27[[#This Row],[Group]])</f>
        <v>30</v>
      </c>
      <c r="L84">
        <f>SUMIFS(Table26[Level 10 Doctorates],Table26[Year],Table27[[#This Row],[Year]],Table26[Group],Table27[[#This Row],[Group]])</f>
        <v>0</v>
      </c>
    </row>
    <row r="85" spans="1:12">
      <c r="A85">
        <v>2021</v>
      </c>
      <c r="B85" t="s">
        <v>508</v>
      </c>
      <c r="C85" t="s">
        <v>514</v>
      </c>
      <c r="D85">
        <f>SUMIFS(Table26[Level 2 Certificates],Table26[Year],Table27[[#This Row],[Year]],Table26[Group],Table27[[#This Row],[Group]])</f>
        <v>0</v>
      </c>
      <c r="E85">
        <f>SUMIFS(Table26[Level 3 Certificates],Table26[Year],Table27[[#This Row],[Year]],Table26[Group],Table27[[#This Row],[Group]])</f>
        <v>0</v>
      </c>
      <c r="F85">
        <f>SUMIFS(Table26[Level 4 Certificates],Table26[Year],Table27[[#This Row],[Year]],Table26[Group],Table27[[#This Row],[Group]])</f>
        <v>110</v>
      </c>
      <c r="G85">
        <f>SUMIFS(Table26[Level 5-7 Certificates and Diplomas],Table26[Year],Table27[[#This Row],[Year]],Table26[Group],Table27[[#This Row],[Group]])</f>
        <v>105</v>
      </c>
      <c r="H85">
        <f>SUMIFS(Table26[Level 7 Bachelor''s Degrees],Table26[Year],Table27[[#This Row],[Year]],Table26[Group],Table27[[#This Row],[Group]])</f>
        <v>930</v>
      </c>
      <c r="I85">
        <f>SUMIFS(Table26[Level 7 Graduate Certificates and Diplomas],Table26[Year],Table27[[#This Row],[Year]],Table26[Group],Table27[[#This Row],[Group]])</f>
        <v>825</v>
      </c>
      <c r="J85">
        <f>SUMIFS(Table26[Level 8 Honours, Post-graduate Certificates, and Post-graduate Diplomas],Table26[Year],Table27[[#This Row],[Year]],Table26[Group],Table27[[#This Row],[Group]])</f>
        <v>0</v>
      </c>
      <c r="K85">
        <f>SUMIFS(Table26[Level 9 Master''s Degrees],Table26[Year],Table27[[#This Row],[Year]],Table26[Group],Table27[[#This Row],[Group]])</f>
        <v>15</v>
      </c>
      <c r="L85">
        <f>SUMIFS(Table26[Level 10 Doctorates],Table26[Year],Table27[[#This Row],[Year]],Table26[Group],Table27[[#This Row],[Group]])</f>
        <v>0</v>
      </c>
    </row>
    <row r="86" spans="1:12">
      <c r="A86">
        <v>2021</v>
      </c>
      <c r="B86" t="s">
        <v>512</v>
      </c>
      <c r="C86" t="s">
        <v>514</v>
      </c>
      <c r="D86">
        <f>SUMIFS(Table26[Level 2 Certificates],Table26[Year],Table27[[#This Row],[Year]],Table26[Group],Table27[[#This Row],[Group]])</f>
        <v>20</v>
      </c>
      <c r="E86">
        <f>SUMIFS(Table26[Level 3 Certificates],Table26[Year],Table27[[#This Row],[Year]],Table26[Group],Table27[[#This Row],[Group]])</f>
        <v>35</v>
      </c>
      <c r="F86">
        <f>SUMIFS(Table26[Level 4 Certificates],Table26[Year],Table27[[#This Row],[Year]],Table26[Group],Table27[[#This Row],[Group]])</f>
        <v>2080</v>
      </c>
      <c r="G86">
        <f>SUMIFS(Table26[Level 5-7 Certificates and Diplomas],Table26[Year],Table27[[#This Row],[Year]],Table26[Group],Table27[[#This Row],[Group]])</f>
        <v>215</v>
      </c>
      <c r="H86">
        <f>SUMIFS(Table26[Level 7 Bachelor''s Degrees],Table26[Year],Table27[[#This Row],[Year]],Table26[Group],Table27[[#This Row],[Group]])</f>
        <v>4500</v>
      </c>
      <c r="I86">
        <f>SUMIFS(Table26[Level 7 Graduate Certificates and Diplomas],Table26[Year],Table27[[#This Row],[Year]],Table26[Group],Table27[[#This Row],[Group]])</f>
        <v>1635</v>
      </c>
      <c r="J86">
        <f>SUMIFS(Table26[Level 8 Honours, Post-graduate Certificates, and Post-graduate Diplomas],Table26[Year],Table27[[#This Row],[Year]],Table26[Group],Table27[[#This Row],[Group]])</f>
        <v>0</v>
      </c>
      <c r="K86">
        <f>SUMIFS(Table26[Level 9 Master''s Degrees],Table26[Year],Table27[[#This Row],[Year]],Table26[Group],Table27[[#This Row],[Group]])</f>
        <v>80</v>
      </c>
      <c r="L86">
        <f>SUMIFS(Table26[Level 10 Doctorates],Table26[Year],Table27[[#This Row],[Year]],Table26[Group],Table27[[#This Row],[Group]])</f>
        <v>0</v>
      </c>
    </row>
    <row r="87" spans="1:12">
      <c r="A87">
        <v>2022</v>
      </c>
      <c r="B87" t="s">
        <v>508</v>
      </c>
      <c r="C87" t="s">
        <v>514</v>
      </c>
      <c r="D87">
        <f>SUMIFS(Table26[Level 2 Certificates],Table26[Year],Table27[[#This Row],[Year]],Table26[Group],Table27[[#This Row],[Group]])</f>
        <v>0</v>
      </c>
      <c r="E87">
        <f>SUMIFS(Table26[Level 3 Certificates],Table26[Year],Table27[[#This Row],[Year]],Table26[Group],Table27[[#This Row],[Group]])</f>
        <v>0</v>
      </c>
      <c r="F87">
        <f>SUMIFS(Table26[Level 4 Certificates],Table26[Year],Table27[[#This Row],[Year]],Table26[Group],Table27[[#This Row],[Group]])</f>
        <v>70</v>
      </c>
      <c r="G87">
        <f>SUMIFS(Table26[Level 5-7 Certificates and Diplomas],Table26[Year],Table27[[#This Row],[Year]],Table26[Group],Table27[[#This Row],[Group]])</f>
        <v>100</v>
      </c>
      <c r="H87">
        <f>SUMIFS(Table26[Level 7 Bachelor''s Degrees],Table26[Year],Table27[[#This Row],[Year]],Table26[Group],Table27[[#This Row],[Group]])</f>
        <v>830</v>
      </c>
      <c r="I87">
        <f>SUMIFS(Table26[Level 7 Graduate Certificates and Diplomas],Table26[Year],Table27[[#This Row],[Year]],Table26[Group],Table27[[#This Row],[Group]])</f>
        <v>780</v>
      </c>
      <c r="J87">
        <f>SUMIFS(Table26[Level 8 Honours, Post-graduate Certificates, and Post-graduate Diplomas],Table26[Year],Table27[[#This Row],[Year]],Table26[Group],Table27[[#This Row],[Group]])</f>
        <v>5</v>
      </c>
      <c r="K87">
        <f>SUMIFS(Table26[Level 9 Master''s Degrees],Table26[Year],Table27[[#This Row],[Year]],Table26[Group],Table27[[#This Row],[Group]])</f>
        <v>55</v>
      </c>
      <c r="L87">
        <f>SUMIFS(Table26[Level 10 Doctorates],Table26[Year],Table27[[#This Row],[Year]],Table26[Group],Table27[[#This Row],[Group]])</f>
        <v>0</v>
      </c>
    </row>
    <row r="88" spans="1:12">
      <c r="A88">
        <v>2022</v>
      </c>
      <c r="B88" t="s">
        <v>512</v>
      </c>
      <c r="C88" t="s">
        <v>515</v>
      </c>
      <c r="D88">
        <f>SUMIFS(Table26[Level 2 Certificates],Table26[Year],Table27[[#This Row],[Year]],Table26[Group],Table27[[#This Row],[Group]])</f>
        <v>65</v>
      </c>
      <c r="E88">
        <f>SUMIFS(Table26[Level 3 Certificates],Table26[Year],Table27[[#This Row],[Year]],Table26[Group],Table27[[#This Row],[Group]])</f>
        <v>40</v>
      </c>
      <c r="F88">
        <f>SUMIFS(Table26[Level 4 Certificates],Table26[Year],Table27[[#This Row],[Year]],Table26[Group],Table27[[#This Row],[Group]])</f>
        <v>815</v>
      </c>
      <c r="G88">
        <f>SUMIFS(Table26[Level 5-7 Certificates and Diplomas],Table26[Year],Table27[[#This Row],[Year]],Table26[Group],Table27[[#This Row],[Group]])</f>
        <v>155</v>
      </c>
      <c r="H88">
        <f>SUMIFS(Table26[Level 7 Bachelor''s Degrees],Table26[Year],Table27[[#This Row],[Year]],Table26[Group],Table27[[#This Row],[Group]])</f>
        <v>4040</v>
      </c>
      <c r="I88">
        <f>SUMIFS(Table26[Level 7 Graduate Certificates and Diplomas],Table26[Year],Table27[[#This Row],[Year]],Table26[Group],Table27[[#This Row],[Group]])</f>
        <v>1420</v>
      </c>
      <c r="J88">
        <f>SUMIFS(Table26[Level 8 Honours, Post-graduate Certificates, and Post-graduate Diplomas],Table26[Year],Table27[[#This Row],[Year]],Table26[Group],Table27[[#This Row],[Group]])</f>
        <v>5</v>
      </c>
      <c r="K88">
        <f>SUMIFS(Table26[Level 9 Master''s Degrees],Table26[Year],Table27[[#This Row],[Year]],Table26[Group],Table27[[#This Row],[Group]])</f>
        <v>90</v>
      </c>
      <c r="L88">
        <f>SUMIFS(Table26[Level 10 Doctorates],Table26[Year],Table27[[#This Row],[Year]],Table26[Group],Table27[[#This Row],[Group]])</f>
        <v>0</v>
      </c>
    </row>
    <row r="89" spans="1:12">
      <c r="A89">
        <v>2023</v>
      </c>
      <c r="B89" t="s">
        <v>508</v>
      </c>
      <c r="C89" t="s">
        <v>514</v>
      </c>
      <c r="D89">
        <f>SUMIFS(Table26[Level 2 Certificates],Table26[Year],Table27[[#This Row],[Year]],Table26[Group],Table27[[#This Row],[Group]])</f>
        <v>0</v>
      </c>
      <c r="E89">
        <f>SUMIFS(Table26[Level 3 Certificates],Table26[Year],Table27[[#This Row],[Year]],Table26[Group],Table27[[#This Row],[Group]])</f>
        <v>5</v>
      </c>
      <c r="F89">
        <f>SUMIFS(Table26[Level 4 Certificates],Table26[Year],Table27[[#This Row],[Year]],Table26[Group],Table27[[#This Row],[Group]])</f>
        <v>105</v>
      </c>
      <c r="G89">
        <f>SUMIFS(Table26[Level 5-7 Certificates and Diplomas],Table26[Year],Table27[[#This Row],[Year]],Table26[Group],Table27[[#This Row],[Group]])</f>
        <v>65</v>
      </c>
      <c r="H89">
        <f>SUMIFS(Table26[Level 7 Bachelor''s Degrees],Table26[Year],Table27[[#This Row],[Year]],Table26[Group],Table27[[#This Row],[Group]])</f>
        <v>855</v>
      </c>
      <c r="I89">
        <f>SUMIFS(Table26[Level 7 Graduate Certificates and Diplomas],Table26[Year],Table27[[#This Row],[Year]],Table26[Group],Table27[[#This Row],[Group]])</f>
        <v>565</v>
      </c>
      <c r="J89">
        <f>SUMIFS(Table26[Level 8 Honours, Post-graduate Certificates, and Post-graduate Diplomas],Table26[Year],Table27[[#This Row],[Year]],Table26[Group],Table27[[#This Row],[Group]])</f>
        <v>5</v>
      </c>
      <c r="K89">
        <f>SUMIFS(Table26[Level 9 Master''s Degrees],Table26[Year],Table27[[#This Row],[Year]],Table26[Group],Table27[[#This Row],[Group]])</f>
        <v>35</v>
      </c>
      <c r="L89">
        <f>SUMIFS(Table26[Level 10 Doctorates],Table26[Year],Table27[[#This Row],[Year]],Table26[Group],Table27[[#This Row],[Group]])</f>
        <v>0</v>
      </c>
    </row>
    <row r="90" spans="1:12">
      <c r="A90">
        <v>2023</v>
      </c>
      <c r="B90" t="s">
        <v>512</v>
      </c>
      <c r="C90" t="s">
        <v>514</v>
      </c>
      <c r="D90">
        <f>SUMIFS(Table26[Level 2 Certificates],Table26[Year],Table27[[#This Row],[Year]],Table26[Group],Table27[[#This Row],[Group]])</f>
        <v>50</v>
      </c>
      <c r="E90">
        <f>SUMIFS(Table26[Level 3 Certificates],Table26[Year],Table27[[#This Row],[Year]],Table26[Group],Table27[[#This Row],[Group]])</f>
        <v>35</v>
      </c>
      <c r="F90">
        <f>SUMIFS(Table26[Level 4 Certificates],Table26[Year],Table27[[#This Row],[Year]],Table26[Group],Table27[[#This Row],[Group]])</f>
        <v>1225</v>
      </c>
      <c r="G90">
        <f>SUMIFS(Table26[Level 5-7 Certificates and Diplomas],Table26[Year],Table27[[#This Row],[Year]],Table26[Group],Table27[[#This Row],[Group]])</f>
        <v>90</v>
      </c>
      <c r="H90">
        <f>SUMIFS(Table26[Level 7 Bachelor''s Degrees],Table26[Year],Table27[[#This Row],[Year]],Table26[Group],Table27[[#This Row],[Group]])</f>
        <v>3635</v>
      </c>
      <c r="I90">
        <f>SUMIFS(Table26[Level 7 Graduate Certificates and Diplomas],Table26[Year],Table27[[#This Row],[Year]],Table26[Group],Table27[[#This Row],[Group]])</f>
        <v>1500</v>
      </c>
      <c r="J90">
        <f>SUMIFS(Table26[Level 8 Honours, Post-graduate Certificates, and Post-graduate Diplomas],Table26[Year],Table27[[#This Row],[Year]],Table26[Group],Table27[[#This Row],[Group]])</f>
        <v>5</v>
      </c>
      <c r="K90">
        <f>SUMIFS(Table26[Level 9 Master''s Degrees],Table26[Year],Table27[[#This Row],[Year]],Table26[Group],Table27[[#This Row],[Group]])</f>
        <v>125</v>
      </c>
      <c r="L90">
        <f>SUMIFS(Table26[Level 10 Doctorates],Table26[Year],Table27[[#This Row],[Year]],Table26[Group],Table27[[#This Row],[Group]])</f>
        <v>0</v>
      </c>
    </row>
    <row r="91" spans="1:12">
      <c r="A91">
        <v>2024</v>
      </c>
      <c r="B91" t="s">
        <v>508</v>
      </c>
      <c r="C91" t="s">
        <v>514</v>
      </c>
      <c r="D91">
        <f>SUMIFS(Table26[Level 2 Certificates],Table26[Year],Table27[[#This Row],[Year]],Table26[Group],Table27[[#This Row],[Group]])</f>
        <v>0</v>
      </c>
      <c r="E91">
        <f>SUMIFS(Table26[Level 3 Certificates],Table26[Year],Table27[[#This Row],[Year]],Table26[Group],Table27[[#This Row],[Group]])</f>
        <v>5</v>
      </c>
      <c r="F91">
        <f>SUMIFS(Table26[Level 4 Certificates],Table26[Year],Table27[[#This Row],[Year]],Table26[Group],Table27[[#This Row],[Group]])</f>
        <v>125</v>
      </c>
      <c r="G91">
        <f>SUMIFS(Table26[Level 5-7 Certificates and Diplomas],Table26[Year],Table27[[#This Row],[Year]],Table26[Group],Table27[[#This Row],[Group]])</f>
        <v>45</v>
      </c>
      <c r="H91">
        <f>SUMIFS(Table26[Level 7 Bachelor''s Degrees],Table26[Year],Table27[[#This Row],[Year]],Table26[Group],Table27[[#This Row],[Group]])</f>
        <v>800</v>
      </c>
      <c r="I91">
        <f>SUMIFS(Table26[Level 7 Graduate Certificates and Diplomas],Table26[Year],Table27[[#This Row],[Year]],Table26[Group],Table27[[#This Row],[Group]])</f>
        <v>850</v>
      </c>
      <c r="J91">
        <f>SUMIFS(Table26[Level 8 Honours, Post-graduate Certificates, and Post-graduate Diplomas],Table26[Year],Table27[[#This Row],[Year]],Table26[Group],Table27[[#This Row],[Group]])</f>
        <v>5</v>
      </c>
      <c r="K91">
        <f>SUMIFS(Table26[Level 9 Master''s Degrees],Table26[Year],Table27[[#This Row],[Year]],Table26[Group],Table27[[#This Row],[Group]])</f>
        <v>40</v>
      </c>
      <c r="L91">
        <f>SUMIFS(Table26[Level 10 Doctorates],Table26[Year],Table27[[#This Row],[Year]],Table26[Group],Table27[[#This Row],[Group]])</f>
        <v>0</v>
      </c>
    </row>
    <row r="92" spans="1:12">
      <c r="A92">
        <v>2024</v>
      </c>
      <c r="B92" t="s">
        <v>512</v>
      </c>
      <c r="C92" t="s">
        <v>514</v>
      </c>
      <c r="D92">
        <f>SUMIFS(Table26[Level 2 Certificates],Table26[Year],Table27[[#This Row],[Year]],Table26[Group],Table27[[#This Row],[Group]])</f>
        <v>80</v>
      </c>
      <c r="E92">
        <f>SUMIFS(Table26[Level 3 Certificates],Table26[Year],Table27[[#This Row],[Year]],Table26[Group],Table27[[#This Row],[Group]])</f>
        <v>45</v>
      </c>
      <c r="F92">
        <f>SUMIFS(Table26[Level 4 Certificates],Table26[Year],Table27[[#This Row],[Year]],Table26[Group],Table27[[#This Row],[Group]])</f>
        <v>1195</v>
      </c>
      <c r="G92">
        <f>SUMIFS(Table26[Level 5-7 Certificates and Diplomas],Table26[Year],Table27[[#This Row],[Year]],Table26[Group],Table27[[#This Row],[Group]])</f>
        <v>70</v>
      </c>
      <c r="H92">
        <f>SUMIFS(Table26[Level 7 Bachelor''s Degrees],Table26[Year],Table27[[#This Row],[Year]],Table26[Group],Table27[[#This Row],[Group]])</f>
        <v>3490</v>
      </c>
      <c r="I92">
        <f>SUMIFS(Table26[Level 7 Graduate Certificates and Diplomas],Table26[Year],Table27[[#This Row],[Year]],Table26[Group],Table27[[#This Row],[Group]])</f>
        <v>1930</v>
      </c>
      <c r="J92">
        <f>SUMIFS(Table26[Level 8 Honours, Post-graduate Certificates, and Post-graduate Diplomas],Table26[Year],Table27[[#This Row],[Year]],Table26[Group],Table27[[#This Row],[Group]])</f>
        <v>15</v>
      </c>
      <c r="K92">
        <f>SUMIFS(Table26[Level 9 Master''s Degrees],Table26[Year],Table27[[#This Row],[Year]],Table26[Group],Table27[[#This Row],[Group]])</f>
        <v>220</v>
      </c>
      <c r="L92">
        <f>SUMIFS(Table26[Level 10 Doctorates],Table26[Year],Table27[[#This Row],[Year]],Table26[Group],Table27[[#This Row],[Group]])</f>
        <v>0</v>
      </c>
    </row>
    <row r="95" spans="1:12">
      <c r="J95" s="13"/>
    </row>
    <row r="98" spans="10:10">
      <c r="J98" s="13"/>
    </row>
    <row r="101" spans="10:10">
      <c r="J101" s="13"/>
    </row>
  </sheetData>
  <pageMargins left="0.7" right="0.7" top="0.75" bottom="0.75" header="0.3" footer="0.3"/>
  <pageSetup orientation="portrait" r:id="rId1"/>
  <tableParts count="2">
    <tablePart r:id="rId2"/>
    <tablePart r:id="rId3"/>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F6A20-A781-44B9-BEB5-19FE23DC859E}">
  <dimension ref="A1:F37"/>
  <sheetViews>
    <sheetView zoomScale="80" zoomScaleNormal="80" workbookViewId="0"/>
  </sheetViews>
  <sheetFormatPr defaultRowHeight="14.65"/>
  <cols>
    <col min="1" max="1" width="46.140625" customWidth="1"/>
    <col min="2" max="2" width="12.7109375" bestFit="1" customWidth="1"/>
    <col min="3" max="3" width="19.7109375" bestFit="1" customWidth="1"/>
  </cols>
  <sheetData>
    <row r="1" spans="1:6" s="98" customFormat="1" ht="20.65">
      <c r="A1" s="98" t="s">
        <v>76</v>
      </c>
    </row>
    <row r="3" spans="1:6">
      <c r="A3" s="40" t="s">
        <v>516</v>
      </c>
    </row>
    <row r="4" spans="1:6">
      <c r="A4" s="41" t="s">
        <v>517</v>
      </c>
    </row>
    <row r="5" spans="1:6" ht="29.45" customHeight="1">
      <c r="A5" s="137" t="s">
        <v>518</v>
      </c>
      <c r="B5" s="137"/>
      <c r="C5" s="137"/>
      <c r="D5" s="137"/>
    </row>
    <row r="6" spans="1:6" ht="66" customHeight="1">
      <c r="A6" s="137" t="s">
        <v>519</v>
      </c>
      <c r="B6" s="137"/>
      <c r="C6" s="137"/>
      <c r="D6" s="137"/>
    </row>
    <row r="7" spans="1:6">
      <c r="A7" t="s">
        <v>520</v>
      </c>
      <c r="B7" t="s">
        <v>521</v>
      </c>
      <c r="C7" t="s">
        <v>522</v>
      </c>
      <c r="D7" t="s">
        <v>523</v>
      </c>
      <c r="F7" s="40"/>
    </row>
    <row r="8" spans="1:6">
      <c r="A8" t="s">
        <v>524</v>
      </c>
      <c r="B8" s="33">
        <v>1</v>
      </c>
      <c r="C8" t="s">
        <v>525</v>
      </c>
      <c r="D8" s="33">
        <v>0.1</v>
      </c>
    </row>
    <row r="9" spans="1:6">
      <c r="A9" t="s">
        <v>525</v>
      </c>
      <c r="B9" s="33">
        <v>1</v>
      </c>
      <c r="C9" t="s">
        <v>526</v>
      </c>
      <c r="D9" s="33">
        <v>0.1</v>
      </c>
    </row>
    <row r="10" spans="1:6">
      <c r="A10" t="s">
        <v>526</v>
      </c>
      <c r="B10" s="33">
        <v>0.75</v>
      </c>
      <c r="C10" t="s">
        <v>527</v>
      </c>
      <c r="D10" s="33">
        <v>0.05</v>
      </c>
    </row>
    <row r="11" spans="1:6">
      <c r="A11" t="s">
        <v>466</v>
      </c>
      <c r="B11" s="33">
        <v>0.25</v>
      </c>
      <c r="C11" t="s">
        <v>528</v>
      </c>
      <c r="D11" s="33">
        <v>0.2</v>
      </c>
    </row>
    <row r="12" spans="1:6">
      <c r="A12" t="s">
        <v>466</v>
      </c>
      <c r="B12" s="33">
        <v>0.75</v>
      </c>
      <c r="C12" t="s">
        <v>527</v>
      </c>
      <c r="D12" s="33">
        <v>0.05</v>
      </c>
    </row>
    <row r="13" spans="1:6">
      <c r="A13" t="s">
        <v>528</v>
      </c>
      <c r="B13" s="33">
        <v>0.1</v>
      </c>
      <c r="C13" t="s">
        <v>529</v>
      </c>
      <c r="D13" s="33">
        <v>0.9</v>
      </c>
    </row>
    <row r="14" spans="1:6">
      <c r="A14" t="s">
        <v>528</v>
      </c>
      <c r="B14" s="33">
        <v>0.9</v>
      </c>
      <c r="C14" t="s">
        <v>527</v>
      </c>
      <c r="D14" s="33">
        <v>0.05</v>
      </c>
    </row>
    <row r="15" spans="1:6">
      <c r="A15" t="s">
        <v>530</v>
      </c>
      <c r="B15" s="33">
        <v>0.5</v>
      </c>
      <c r="C15" t="s">
        <v>527</v>
      </c>
      <c r="D15" s="33">
        <v>1</v>
      </c>
    </row>
    <row r="16" spans="1:6">
      <c r="A16" t="s">
        <v>531</v>
      </c>
      <c r="B16" s="33">
        <v>0.1</v>
      </c>
      <c r="C16" t="s">
        <v>524</v>
      </c>
      <c r="D16" s="33">
        <v>0.8</v>
      </c>
    </row>
    <row r="17" spans="1:6">
      <c r="A17" t="s">
        <v>531</v>
      </c>
      <c r="B17" s="33">
        <v>0.15</v>
      </c>
      <c r="C17" t="s">
        <v>525</v>
      </c>
      <c r="D17" s="33">
        <v>0.5</v>
      </c>
      <c r="F17" s="40"/>
    </row>
    <row r="18" spans="1:6">
      <c r="A18" t="s">
        <v>531</v>
      </c>
      <c r="B18" s="33">
        <v>0.2</v>
      </c>
      <c r="C18" t="s">
        <v>526</v>
      </c>
      <c r="D18" s="33">
        <v>0.2</v>
      </c>
    </row>
    <row r="19" spans="1:6">
      <c r="A19" t="s">
        <v>531</v>
      </c>
      <c r="B19" s="33">
        <v>0.1</v>
      </c>
      <c r="C19" t="s">
        <v>466</v>
      </c>
      <c r="D19" s="33">
        <v>0.25</v>
      </c>
    </row>
    <row r="20" spans="1:6">
      <c r="A20" t="s">
        <v>531</v>
      </c>
      <c r="B20" s="33">
        <v>0.2</v>
      </c>
      <c r="C20" t="s">
        <v>528</v>
      </c>
      <c r="D20" s="33">
        <v>0.1</v>
      </c>
      <c r="F20" s="40"/>
    </row>
    <row r="21" spans="1:6">
      <c r="A21" t="s">
        <v>531</v>
      </c>
      <c r="B21" s="33">
        <v>0.25</v>
      </c>
      <c r="C21" t="s">
        <v>527</v>
      </c>
      <c r="D21" s="33">
        <v>0.24</v>
      </c>
    </row>
    <row r="22" spans="1:6">
      <c r="A22" t="s">
        <v>532</v>
      </c>
      <c r="B22" s="33">
        <v>0.1</v>
      </c>
      <c r="C22" t="s">
        <v>525</v>
      </c>
      <c r="D22" s="33">
        <v>0.3</v>
      </c>
    </row>
    <row r="23" spans="1:6">
      <c r="A23" t="s">
        <v>532</v>
      </c>
      <c r="B23" s="33">
        <v>0.2</v>
      </c>
      <c r="C23" t="s">
        <v>526</v>
      </c>
      <c r="D23" s="33">
        <v>0.2</v>
      </c>
    </row>
    <row r="24" spans="1:6">
      <c r="A24" t="s">
        <v>532</v>
      </c>
      <c r="B24" s="33">
        <v>0.1</v>
      </c>
      <c r="C24" t="s">
        <v>466</v>
      </c>
      <c r="D24" s="33">
        <v>0.25</v>
      </c>
    </row>
    <row r="25" spans="1:6">
      <c r="A25" t="s">
        <v>532</v>
      </c>
      <c r="B25" s="33">
        <v>0.1</v>
      </c>
      <c r="C25" t="s">
        <v>528</v>
      </c>
      <c r="D25" s="33">
        <v>0.05</v>
      </c>
    </row>
    <row r="26" spans="1:6">
      <c r="A26" t="s">
        <v>532</v>
      </c>
      <c r="B26" s="33">
        <v>0.5</v>
      </c>
      <c r="C26" t="s">
        <v>527</v>
      </c>
      <c r="D26" s="33">
        <v>0.24</v>
      </c>
    </row>
    <row r="27" spans="1:6">
      <c r="A27" t="s">
        <v>533</v>
      </c>
      <c r="B27" s="33">
        <v>0.15</v>
      </c>
      <c r="C27" t="s">
        <v>526</v>
      </c>
      <c r="D27" s="33">
        <v>0.2</v>
      </c>
    </row>
    <row r="28" spans="1:6">
      <c r="A28" t="s">
        <v>533</v>
      </c>
      <c r="B28" s="33">
        <v>0.05</v>
      </c>
      <c r="C28" t="s">
        <v>466</v>
      </c>
      <c r="D28" s="33">
        <v>0.25</v>
      </c>
    </row>
    <row r="29" spans="1:6">
      <c r="A29" t="s">
        <v>533</v>
      </c>
      <c r="B29" s="33">
        <v>0.15</v>
      </c>
      <c r="C29" t="s">
        <v>528</v>
      </c>
      <c r="D29" s="33">
        <v>0.15</v>
      </c>
    </row>
    <row r="30" spans="1:6">
      <c r="A30" t="s">
        <v>533</v>
      </c>
      <c r="B30" s="33">
        <v>0.05</v>
      </c>
      <c r="C30" t="s">
        <v>529</v>
      </c>
      <c r="D30" s="33">
        <v>0.1</v>
      </c>
    </row>
    <row r="31" spans="1:6">
      <c r="A31" t="s">
        <v>533</v>
      </c>
      <c r="B31" s="33">
        <v>0.6</v>
      </c>
      <c r="C31" t="s">
        <v>527</v>
      </c>
      <c r="D31" s="33">
        <v>0.24</v>
      </c>
    </row>
    <row r="32" spans="1:6">
      <c r="A32" t="s">
        <v>534</v>
      </c>
      <c r="B32" s="33">
        <v>0.05</v>
      </c>
      <c r="C32" t="s">
        <v>524</v>
      </c>
      <c r="D32" s="33">
        <v>0.2</v>
      </c>
    </row>
    <row r="33" spans="1:4">
      <c r="A33" t="s">
        <v>534</v>
      </c>
      <c r="B33" s="33">
        <v>0.05</v>
      </c>
      <c r="C33" t="s">
        <v>525</v>
      </c>
      <c r="D33" s="33">
        <v>0.2</v>
      </c>
    </row>
    <row r="34" spans="1:4">
      <c r="A34" t="s">
        <v>534</v>
      </c>
      <c r="B34" s="33">
        <v>0.1</v>
      </c>
      <c r="C34" t="s">
        <v>526</v>
      </c>
      <c r="D34" s="33">
        <v>0.3</v>
      </c>
    </row>
    <row r="35" spans="1:4">
      <c r="A35" t="s">
        <v>534</v>
      </c>
      <c r="B35" s="33">
        <v>0.05</v>
      </c>
      <c r="C35" t="s">
        <v>466</v>
      </c>
      <c r="D35" s="33">
        <v>0.25</v>
      </c>
    </row>
    <row r="36" spans="1:4">
      <c r="A36" t="s">
        <v>534</v>
      </c>
      <c r="B36" s="33">
        <v>0.4</v>
      </c>
      <c r="C36" t="s">
        <v>528</v>
      </c>
      <c r="D36" s="33">
        <v>0.5</v>
      </c>
    </row>
    <row r="37" spans="1:4">
      <c r="A37" t="s">
        <v>534</v>
      </c>
      <c r="B37" s="33">
        <v>0.05</v>
      </c>
      <c r="C37" t="s">
        <v>527</v>
      </c>
      <c r="D37" s="33">
        <v>0.08</v>
      </c>
    </row>
  </sheetData>
  <mergeCells count="2">
    <mergeCell ref="A5:D5"/>
    <mergeCell ref="A6:D6"/>
  </mergeCells>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5618C-3D0F-43EF-9FA8-EE88B8057016}">
  <dimension ref="A1:I72"/>
  <sheetViews>
    <sheetView zoomScale="80" zoomScaleNormal="80" workbookViewId="0"/>
  </sheetViews>
  <sheetFormatPr defaultRowHeight="14.65"/>
  <cols>
    <col min="2" max="2" width="17.5703125" customWidth="1"/>
    <col min="3" max="9" width="25.140625" customWidth="1"/>
  </cols>
  <sheetData>
    <row r="1" spans="1:9" s="98" customFormat="1" ht="20.65">
      <c r="A1" s="98" t="s">
        <v>80</v>
      </c>
    </row>
    <row r="3" spans="1:9">
      <c r="A3" s="18" t="s">
        <v>535</v>
      </c>
    </row>
    <row r="4" spans="1:9">
      <c r="A4" t="s">
        <v>536</v>
      </c>
    </row>
    <row r="6" spans="1:9" s="34" customFormat="1" ht="29.1">
      <c r="A6" s="34" t="s">
        <v>159</v>
      </c>
      <c r="B6" s="34" t="s">
        <v>537</v>
      </c>
      <c r="C6" s="35" t="s">
        <v>538</v>
      </c>
      <c r="D6" s="35" t="s">
        <v>539</v>
      </c>
      <c r="E6" s="35" t="s">
        <v>540</v>
      </c>
      <c r="F6" s="35" t="s">
        <v>541</v>
      </c>
      <c r="G6" s="35" t="s">
        <v>542</v>
      </c>
      <c r="H6" s="35" t="s">
        <v>543</v>
      </c>
      <c r="I6" s="35" t="s">
        <v>544</v>
      </c>
    </row>
    <row r="7" spans="1:9">
      <c r="A7" s="11">
        <v>2015</v>
      </c>
      <c r="B7" s="11">
        <v>203658</v>
      </c>
      <c r="C7" s="36">
        <v>0.28899999999999998</v>
      </c>
      <c r="D7" s="36">
        <v>0.17599999999999999</v>
      </c>
      <c r="E7" s="36">
        <v>0.157</v>
      </c>
      <c r="F7" s="11">
        <v>4479</v>
      </c>
      <c r="G7" s="36">
        <v>0.28699999999999998</v>
      </c>
      <c r="H7" s="36">
        <v>0.19400000000000001</v>
      </c>
      <c r="I7" s="36">
        <v>0.129</v>
      </c>
    </row>
    <row r="8" spans="1:9">
      <c r="A8" s="11">
        <v>2016</v>
      </c>
      <c r="B8" s="11">
        <v>208116</v>
      </c>
      <c r="C8" s="36">
        <v>0.30299999999999999</v>
      </c>
      <c r="D8" s="36">
        <v>0.184</v>
      </c>
      <c r="E8" s="36">
        <v>0.16400000000000001</v>
      </c>
      <c r="F8" s="11">
        <v>4761</v>
      </c>
      <c r="G8" s="36">
        <v>0.31900000000000001</v>
      </c>
      <c r="H8" s="36">
        <v>0.215</v>
      </c>
      <c r="I8" s="36">
        <v>0.14699999999999999</v>
      </c>
    </row>
    <row r="9" spans="1:9">
      <c r="A9" s="11">
        <v>2017</v>
      </c>
      <c r="B9" s="11">
        <v>213177</v>
      </c>
      <c r="C9" s="36">
        <v>0.316</v>
      </c>
      <c r="D9" s="36">
        <v>0.187</v>
      </c>
      <c r="E9" s="36">
        <v>0.17699999999999999</v>
      </c>
      <c r="F9" s="11">
        <v>4935</v>
      </c>
      <c r="G9" s="36">
        <v>0.34200000000000003</v>
      </c>
      <c r="H9" s="36">
        <v>0.22700000000000001</v>
      </c>
      <c r="I9" s="36">
        <v>0.155</v>
      </c>
    </row>
    <row r="10" spans="1:9">
      <c r="A10" s="11">
        <v>2018</v>
      </c>
      <c r="B10" s="11">
        <v>219420</v>
      </c>
      <c r="C10" s="36">
        <v>0.33800000000000002</v>
      </c>
      <c r="D10" s="36">
        <v>0.2</v>
      </c>
      <c r="E10" s="36">
        <v>0.19</v>
      </c>
      <c r="F10" s="11">
        <v>5115</v>
      </c>
      <c r="G10" s="36">
        <v>0.36799999999999999</v>
      </c>
      <c r="H10" s="36">
        <v>0.24</v>
      </c>
      <c r="I10" s="36">
        <v>0.17100000000000001</v>
      </c>
    </row>
    <row r="11" spans="1:9">
      <c r="A11" s="11">
        <v>2019</v>
      </c>
      <c r="B11" s="11">
        <v>215553</v>
      </c>
      <c r="C11" s="36">
        <v>0.34599999999999997</v>
      </c>
      <c r="D11" s="36">
        <v>0.19800000000000001</v>
      </c>
      <c r="E11" s="36">
        <v>0.19600000000000001</v>
      </c>
      <c r="F11" s="11">
        <v>5196</v>
      </c>
      <c r="G11" s="36">
        <v>0.36799999999999999</v>
      </c>
      <c r="H11" s="36">
        <v>0.23400000000000001</v>
      </c>
      <c r="I11" s="36">
        <v>0.182</v>
      </c>
    </row>
    <row r="12" spans="1:9">
      <c r="A12" s="11">
        <v>2020</v>
      </c>
      <c r="B12" s="11">
        <v>197625</v>
      </c>
      <c r="C12" s="36">
        <v>0.32</v>
      </c>
      <c r="D12" s="36">
        <v>0.17100000000000001</v>
      </c>
      <c r="E12" s="36">
        <v>0.19600000000000001</v>
      </c>
      <c r="F12" s="11">
        <v>4785</v>
      </c>
      <c r="G12" s="36">
        <v>0.34799999999999998</v>
      </c>
      <c r="H12" s="36">
        <v>0.218</v>
      </c>
      <c r="I12" s="36">
        <v>0.17899999999999999</v>
      </c>
    </row>
    <row r="13" spans="1:9">
      <c r="A13" s="11">
        <v>2021</v>
      </c>
      <c r="B13" s="11">
        <v>203778</v>
      </c>
      <c r="C13" s="36">
        <v>0.34200000000000003</v>
      </c>
      <c r="D13" s="36">
        <v>0.17599999999999999</v>
      </c>
      <c r="E13" s="36">
        <v>0.222</v>
      </c>
      <c r="F13" s="11">
        <v>4881</v>
      </c>
      <c r="G13" s="36">
        <v>0.36399999999999999</v>
      </c>
      <c r="H13" s="36">
        <v>0.20399999999999999</v>
      </c>
      <c r="I13" s="36">
        <v>0.218</v>
      </c>
    </row>
    <row r="14" spans="1:9">
      <c r="A14" s="11">
        <v>2022</v>
      </c>
      <c r="B14" s="11">
        <v>202116</v>
      </c>
      <c r="C14" s="36">
        <v>0.34499999999999997</v>
      </c>
      <c r="D14" s="36">
        <v>0.161</v>
      </c>
      <c r="E14" s="36">
        <v>0.23599999999999999</v>
      </c>
      <c r="F14" s="11">
        <v>4821</v>
      </c>
      <c r="G14" s="36">
        <v>0.36199999999999999</v>
      </c>
      <c r="H14" s="36">
        <v>0.17699999999999999</v>
      </c>
      <c r="I14" s="36">
        <v>0.23699999999999999</v>
      </c>
    </row>
    <row r="15" spans="1:9">
      <c r="A15" s="11">
        <v>2023</v>
      </c>
      <c r="B15" s="11">
        <v>207093</v>
      </c>
      <c r="C15" s="36">
        <v>0.34899999999999998</v>
      </c>
      <c r="D15" s="36">
        <v>0.154</v>
      </c>
      <c r="E15" s="36">
        <v>0.249</v>
      </c>
      <c r="F15" s="11">
        <v>4965</v>
      </c>
      <c r="G15" s="36">
        <v>0.371</v>
      </c>
      <c r="H15" s="36">
        <v>0.18</v>
      </c>
      <c r="I15" s="36">
        <v>0.248</v>
      </c>
    </row>
    <row r="16" spans="1:9">
      <c r="A16" s="11">
        <v>2024</v>
      </c>
      <c r="B16" s="11">
        <v>193611</v>
      </c>
      <c r="C16" s="36">
        <v>0.32300000000000001</v>
      </c>
      <c r="D16" s="36">
        <v>0.13500000000000001</v>
      </c>
      <c r="E16" s="36">
        <v>0.24299999999999999</v>
      </c>
      <c r="F16" s="11">
        <v>4929</v>
      </c>
      <c r="G16" s="36">
        <v>0.38300000000000001</v>
      </c>
      <c r="H16" s="36">
        <v>0.17100000000000001</v>
      </c>
      <c r="I16" s="36">
        <v>0.27300000000000002</v>
      </c>
    </row>
    <row r="17" spans="1:9">
      <c r="A17" s="11"/>
      <c r="B17" s="11"/>
      <c r="C17" s="36"/>
      <c r="D17" s="36"/>
      <c r="E17" s="36"/>
      <c r="F17" s="11"/>
      <c r="G17" s="36"/>
      <c r="H17" s="36"/>
      <c r="I17" s="36"/>
    </row>
    <row r="19" spans="1:9">
      <c r="A19" s="13" t="s">
        <v>545</v>
      </c>
    </row>
    <row r="20" spans="1:9">
      <c r="A20" t="s">
        <v>536</v>
      </c>
    </row>
    <row r="22" spans="1:9">
      <c r="A22" t="s">
        <v>159</v>
      </c>
      <c r="B22" t="s">
        <v>546</v>
      </c>
      <c r="C22" t="s">
        <v>547</v>
      </c>
    </row>
    <row r="23" spans="1:9">
      <c r="A23">
        <v>2015</v>
      </c>
      <c r="B23">
        <v>2919</v>
      </c>
      <c r="C23" t="s">
        <v>548</v>
      </c>
    </row>
    <row r="24" spans="1:9">
      <c r="A24">
        <v>2016</v>
      </c>
      <c r="B24">
        <v>3015</v>
      </c>
      <c r="C24" t="s">
        <v>548</v>
      </c>
    </row>
    <row r="25" spans="1:9">
      <c r="A25">
        <v>2017</v>
      </c>
      <c r="B25">
        <v>3096</v>
      </c>
      <c r="C25" t="s">
        <v>548</v>
      </c>
    </row>
    <row r="26" spans="1:9">
      <c r="A26">
        <v>2018</v>
      </c>
      <c r="B26">
        <v>3111</v>
      </c>
      <c r="C26" t="s">
        <v>548</v>
      </c>
    </row>
    <row r="27" spans="1:9">
      <c r="A27">
        <v>2019</v>
      </c>
      <c r="B27">
        <v>3174</v>
      </c>
      <c r="C27" t="s">
        <v>548</v>
      </c>
    </row>
    <row r="28" spans="1:9">
      <c r="A28">
        <v>2020</v>
      </c>
      <c r="B28">
        <v>2877</v>
      </c>
      <c r="C28" t="s">
        <v>548</v>
      </c>
    </row>
    <row r="29" spans="1:9">
      <c r="A29">
        <v>2021</v>
      </c>
      <c r="B29">
        <v>2877</v>
      </c>
      <c r="C29" t="s">
        <v>548</v>
      </c>
    </row>
    <row r="30" spans="1:9">
      <c r="A30">
        <v>2022</v>
      </c>
      <c r="B30">
        <v>2871</v>
      </c>
      <c r="C30" t="s">
        <v>548</v>
      </c>
    </row>
    <row r="31" spans="1:9">
      <c r="A31">
        <v>2023</v>
      </c>
      <c r="B31">
        <v>2982</v>
      </c>
      <c r="C31" t="s">
        <v>548</v>
      </c>
    </row>
    <row r="32" spans="1:9">
      <c r="A32">
        <v>2024</v>
      </c>
      <c r="B32">
        <v>2874</v>
      </c>
      <c r="C32" t="s">
        <v>548</v>
      </c>
    </row>
    <row r="33" spans="1:3">
      <c r="A33">
        <v>2015</v>
      </c>
      <c r="B33">
        <v>252</v>
      </c>
      <c r="C33" t="s">
        <v>549</v>
      </c>
    </row>
    <row r="34" spans="1:3">
      <c r="A34">
        <v>2016</v>
      </c>
      <c r="B34">
        <v>291</v>
      </c>
      <c r="C34" t="s">
        <v>549</v>
      </c>
    </row>
    <row r="35" spans="1:3">
      <c r="A35">
        <v>2017</v>
      </c>
      <c r="B35">
        <v>309</v>
      </c>
      <c r="C35" t="s">
        <v>549</v>
      </c>
    </row>
    <row r="36" spans="1:3">
      <c r="A36">
        <v>2018</v>
      </c>
      <c r="B36">
        <v>336</v>
      </c>
      <c r="C36" t="s">
        <v>549</v>
      </c>
    </row>
    <row r="37" spans="1:3">
      <c r="A37">
        <v>2019</v>
      </c>
      <c r="B37">
        <v>321</v>
      </c>
      <c r="C37" t="s">
        <v>549</v>
      </c>
    </row>
    <row r="38" spans="1:3">
      <c r="A38">
        <v>2020</v>
      </c>
      <c r="B38">
        <v>246</v>
      </c>
      <c r="C38" t="s">
        <v>549</v>
      </c>
    </row>
    <row r="39" spans="1:3">
      <c r="A39">
        <v>2021</v>
      </c>
      <c r="B39">
        <v>207</v>
      </c>
      <c r="C39" t="s">
        <v>549</v>
      </c>
    </row>
    <row r="40" spans="1:3">
      <c r="A40">
        <v>2022</v>
      </c>
      <c r="B40">
        <v>159</v>
      </c>
      <c r="C40" t="s">
        <v>549</v>
      </c>
    </row>
    <row r="41" spans="1:3">
      <c r="A41">
        <v>2023</v>
      </c>
      <c r="B41">
        <v>138</v>
      </c>
      <c r="C41" t="s">
        <v>549</v>
      </c>
    </row>
    <row r="42" spans="1:3">
      <c r="A42">
        <v>2024</v>
      </c>
      <c r="B42">
        <v>129</v>
      </c>
      <c r="C42" t="s">
        <v>549</v>
      </c>
    </row>
    <row r="43" spans="1:3">
      <c r="A43">
        <v>2015</v>
      </c>
      <c r="B43">
        <v>732</v>
      </c>
      <c r="C43" t="s">
        <v>550</v>
      </c>
    </row>
    <row r="44" spans="1:3">
      <c r="A44">
        <v>2016</v>
      </c>
      <c r="B44">
        <v>798</v>
      </c>
      <c r="C44" t="s">
        <v>550</v>
      </c>
    </row>
    <row r="45" spans="1:3">
      <c r="A45">
        <v>2017</v>
      </c>
      <c r="B45">
        <v>837</v>
      </c>
      <c r="C45" t="s">
        <v>550</v>
      </c>
    </row>
    <row r="46" spans="1:3">
      <c r="A46">
        <v>2018</v>
      </c>
      <c r="B46">
        <v>900</v>
      </c>
      <c r="C46" t="s">
        <v>550</v>
      </c>
    </row>
    <row r="47" spans="1:3">
      <c r="A47">
        <v>2019</v>
      </c>
      <c r="B47">
        <v>888</v>
      </c>
      <c r="C47" t="s">
        <v>550</v>
      </c>
    </row>
    <row r="48" spans="1:3">
      <c r="A48">
        <v>2020</v>
      </c>
      <c r="B48">
        <v>861</v>
      </c>
      <c r="C48" t="s">
        <v>550</v>
      </c>
    </row>
    <row r="49" spans="1:5">
      <c r="A49">
        <v>2021</v>
      </c>
      <c r="B49">
        <v>822</v>
      </c>
      <c r="C49" t="s">
        <v>550</v>
      </c>
    </row>
    <row r="50" spans="1:5">
      <c r="A50">
        <v>2022</v>
      </c>
      <c r="B50">
        <v>729</v>
      </c>
      <c r="C50" t="s">
        <v>550</v>
      </c>
    </row>
    <row r="51" spans="1:5">
      <c r="A51">
        <v>2023</v>
      </c>
      <c r="B51">
        <v>735</v>
      </c>
      <c r="C51" t="s">
        <v>550</v>
      </c>
    </row>
    <row r="52" spans="1:5">
      <c r="A52">
        <v>2024</v>
      </c>
      <c r="B52">
        <v>702</v>
      </c>
      <c r="C52" t="s">
        <v>550</v>
      </c>
    </row>
    <row r="53" spans="1:5">
      <c r="A53">
        <v>2015</v>
      </c>
      <c r="B53">
        <v>552</v>
      </c>
      <c r="C53" t="s">
        <v>551</v>
      </c>
      <c r="E53" s="41"/>
    </row>
    <row r="54" spans="1:5">
      <c r="A54">
        <v>2016</v>
      </c>
      <c r="B54">
        <v>618</v>
      </c>
      <c r="C54" t="s">
        <v>551</v>
      </c>
    </row>
    <row r="55" spans="1:5">
      <c r="A55">
        <v>2017</v>
      </c>
      <c r="B55">
        <v>657</v>
      </c>
      <c r="C55" t="s">
        <v>551</v>
      </c>
    </row>
    <row r="56" spans="1:5">
      <c r="A56">
        <v>2018</v>
      </c>
      <c r="B56">
        <v>723</v>
      </c>
      <c r="C56" t="s">
        <v>551</v>
      </c>
    </row>
    <row r="57" spans="1:5">
      <c r="A57">
        <v>2019</v>
      </c>
      <c r="B57">
        <v>765</v>
      </c>
      <c r="C57" t="s">
        <v>551</v>
      </c>
    </row>
    <row r="58" spans="1:5">
      <c r="A58">
        <v>2020</v>
      </c>
      <c r="B58">
        <v>765</v>
      </c>
      <c r="C58" t="s">
        <v>551</v>
      </c>
    </row>
    <row r="59" spans="1:5">
      <c r="A59">
        <v>2021</v>
      </c>
      <c r="B59">
        <v>933</v>
      </c>
      <c r="C59" t="s">
        <v>551</v>
      </c>
    </row>
    <row r="60" spans="1:5">
      <c r="A60">
        <v>2022</v>
      </c>
      <c r="B60">
        <v>1005</v>
      </c>
      <c r="C60" t="s">
        <v>551</v>
      </c>
    </row>
    <row r="61" spans="1:5">
      <c r="A61">
        <v>2023</v>
      </c>
      <c r="B61">
        <v>1047</v>
      </c>
      <c r="C61" t="s">
        <v>551</v>
      </c>
    </row>
    <row r="62" spans="1:5">
      <c r="A62">
        <v>2024</v>
      </c>
      <c r="B62">
        <v>1179</v>
      </c>
      <c r="C62" t="s">
        <v>551</v>
      </c>
    </row>
    <row r="63" spans="1:5">
      <c r="A63">
        <v>2015</v>
      </c>
      <c r="B63">
        <v>24</v>
      </c>
      <c r="C63" t="s">
        <v>552</v>
      </c>
    </row>
    <row r="64" spans="1:5">
      <c r="A64">
        <v>2016</v>
      </c>
      <c r="B64">
        <v>39</v>
      </c>
      <c r="C64" t="s">
        <v>552</v>
      </c>
    </row>
    <row r="65" spans="1:3">
      <c r="A65">
        <v>2017</v>
      </c>
      <c r="B65">
        <v>36</v>
      </c>
      <c r="C65" t="s">
        <v>552</v>
      </c>
    </row>
    <row r="66" spans="1:3">
      <c r="A66">
        <v>2018</v>
      </c>
      <c r="B66">
        <v>45</v>
      </c>
      <c r="C66" t="s">
        <v>552</v>
      </c>
    </row>
    <row r="67" spans="1:3">
      <c r="A67">
        <v>2019</v>
      </c>
      <c r="B67">
        <v>48</v>
      </c>
      <c r="C67" t="s">
        <v>552</v>
      </c>
    </row>
    <row r="68" spans="1:3">
      <c r="A68">
        <v>2020</v>
      </c>
      <c r="B68">
        <v>36</v>
      </c>
      <c r="C68" t="s">
        <v>552</v>
      </c>
    </row>
    <row r="69" spans="1:3">
      <c r="A69">
        <v>2021</v>
      </c>
      <c r="B69">
        <v>42</v>
      </c>
      <c r="C69" t="s">
        <v>552</v>
      </c>
    </row>
    <row r="70" spans="1:3">
      <c r="A70">
        <v>2022</v>
      </c>
      <c r="B70">
        <v>57</v>
      </c>
      <c r="C70" t="s">
        <v>552</v>
      </c>
    </row>
    <row r="71" spans="1:3">
      <c r="A71">
        <v>2023</v>
      </c>
      <c r="B71">
        <v>63</v>
      </c>
      <c r="C71" t="s">
        <v>552</v>
      </c>
    </row>
    <row r="72" spans="1:3">
      <c r="A72">
        <v>2024</v>
      </c>
      <c r="B72">
        <v>45</v>
      </c>
      <c r="C72" t="s">
        <v>552</v>
      </c>
    </row>
  </sheetData>
  <pageMargins left="0.7" right="0.7" top="0.75" bottom="0.75" header="0.3" footer="0.3"/>
  <tableParts count="2">
    <tablePart r:id="rId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6648F-F825-4D4B-B1B3-EF03CDB71EE2}">
  <dimension ref="A1:C179"/>
  <sheetViews>
    <sheetView workbookViewId="0">
      <selection activeCell="E9" sqref="E9"/>
    </sheetView>
  </sheetViews>
  <sheetFormatPr defaultRowHeight="14.65"/>
  <cols>
    <col min="1" max="1" width="26.5703125" customWidth="1"/>
    <col min="2" max="2" width="23" bestFit="1" customWidth="1"/>
    <col min="3" max="3" width="15.42578125" style="124" customWidth="1"/>
    <col min="4" max="4" width="14.5703125" customWidth="1"/>
  </cols>
  <sheetData>
    <row r="1" spans="1:3" s="98" customFormat="1" ht="20.65">
      <c r="A1" s="98" t="s">
        <v>84</v>
      </c>
      <c r="C1" s="125"/>
    </row>
    <row r="3" spans="1:3">
      <c r="A3" s="40" t="s">
        <v>553</v>
      </c>
    </row>
    <row r="4" spans="1:3">
      <c r="A4" t="s">
        <v>91</v>
      </c>
      <c r="B4" t="s">
        <v>474</v>
      </c>
      <c r="C4" s="124" t="s">
        <v>554</v>
      </c>
    </row>
    <row r="5" spans="1:3">
      <c r="A5" t="s">
        <v>555</v>
      </c>
      <c r="B5" t="s">
        <v>556</v>
      </c>
      <c r="C5" s="124">
        <v>41</v>
      </c>
    </row>
    <row r="6" spans="1:3">
      <c r="A6" t="s">
        <v>555</v>
      </c>
      <c r="B6" t="s">
        <v>160</v>
      </c>
      <c r="C6" s="124">
        <v>61388</v>
      </c>
    </row>
    <row r="7" spans="1:3">
      <c r="A7" t="s">
        <v>555</v>
      </c>
      <c r="B7" t="s">
        <v>481</v>
      </c>
      <c r="C7" s="124">
        <v>7050</v>
      </c>
    </row>
    <row r="8" spans="1:3">
      <c r="A8" t="s">
        <v>555</v>
      </c>
      <c r="B8" t="s">
        <v>482</v>
      </c>
      <c r="C8" s="124">
        <v>278</v>
      </c>
    </row>
    <row r="9" spans="1:3">
      <c r="A9" t="s">
        <v>555</v>
      </c>
      <c r="B9" t="s">
        <v>161</v>
      </c>
      <c r="C9" s="124">
        <v>5423</v>
      </c>
    </row>
    <row r="10" spans="1:3">
      <c r="A10" t="s">
        <v>555</v>
      </c>
      <c r="B10" t="s">
        <v>557</v>
      </c>
      <c r="C10" s="124">
        <v>2006</v>
      </c>
    </row>
    <row r="11" spans="1:3">
      <c r="A11" t="s">
        <v>555</v>
      </c>
      <c r="B11" t="s">
        <v>207</v>
      </c>
      <c r="C11" s="124">
        <v>1571</v>
      </c>
    </row>
    <row r="12" spans="1:3">
      <c r="A12" t="s">
        <v>558</v>
      </c>
      <c r="B12" t="s">
        <v>160</v>
      </c>
      <c r="C12" s="124">
        <v>10243</v>
      </c>
    </row>
    <row r="13" spans="1:3">
      <c r="A13" t="s">
        <v>558</v>
      </c>
      <c r="B13" t="s">
        <v>481</v>
      </c>
      <c r="C13" s="124">
        <v>1405</v>
      </c>
    </row>
    <row r="14" spans="1:3">
      <c r="A14" t="s">
        <v>558</v>
      </c>
      <c r="B14" t="s">
        <v>482</v>
      </c>
      <c r="C14" s="124">
        <v>22</v>
      </c>
    </row>
    <row r="15" spans="1:3">
      <c r="A15" t="s">
        <v>558</v>
      </c>
      <c r="B15" t="s">
        <v>161</v>
      </c>
      <c r="C15" s="124">
        <v>1683</v>
      </c>
    </row>
    <row r="16" spans="1:3">
      <c r="A16" t="s">
        <v>558</v>
      </c>
      <c r="B16" t="s">
        <v>557</v>
      </c>
      <c r="C16" s="124">
        <v>702</v>
      </c>
    </row>
    <row r="17" spans="1:3">
      <c r="A17" t="s">
        <v>558</v>
      </c>
      <c r="B17" t="s">
        <v>207</v>
      </c>
      <c r="C17" s="124">
        <v>2082</v>
      </c>
    </row>
    <row r="18" spans="1:3">
      <c r="A18" t="s">
        <v>559</v>
      </c>
      <c r="B18" t="s">
        <v>160</v>
      </c>
      <c r="C18" s="124">
        <v>19470</v>
      </c>
    </row>
    <row r="19" spans="1:3">
      <c r="A19" t="s">
        <v>559</v>
      </c>
      <c r="B19" t="s">
        <v>481</v>
      </c>
      <c r="C19" s="124">
        <v>920</v>
      </c>
    </row>
    <row r="20" spans="1:3">
      <c r="A20" t="s">
        <v>559</v>
      </c>
      <c r="B20" t="s">
        <v>482</v>
      </c>
      <c r="C20" s="124">
        <v>28</v>
      </c>
    </row>
    <row r="21" spans="1:3">
      <c r="A21" t="s">
        <v>559</v>
      </c>
      <c r="B21" t="s">
        <v>161</v>
      </c>
      <c r="C21" s="124">
        <v>2904</v>
      </c>
    </row>
    <row r="22" spans="1:3">
      <c r="A22" t="s">
        <v>559</v>
      </c>
      <c r="B22" t="s">
        <v>557</v>
      </c>
      <c r="C22" s="124">
        <v>1365</v>
      </c>
    </row>
    <row r="23" spans="1:3">
      <c r="A23" t="s">
        <v>559</v>
      </c>
      <c r="B23" t="s">
        <v>207</v>
      </c>
      <c r="C23" s="124">
        <v>212</v>
      </c>
    </row>
    <row r="24" spans="1:3">
      <c r="A24" t="s">
        <v>560</v>
      </c>
      <c r="B24" t="s">
        <v>207</v>
      </c>
      <c r="C24" s="124">
        <v>24</v>
      </c>
    </row>
    <row r="25" spans="1:3">
      <c r="A25" t="s">
        <v>561</v>
      </c>
      <c r="B25" t="s">
        <v>160</v>
      </c>
      <c r="C25" s="124">
        <v>1333</v>
      </c>
    </row>
    <row r="26" spans="1:3">
      <c r="A26" t="s">
        <v>561</v>
      </c>
      <c r="B26" t="s">
        <v>481</v>
      </c>
      <c r="C26" s="124">
        <v>80</v>
      </c>
    </row>
    <row r="27" spans="1:3">
      <c r="A27" t="s">
        <v>561</v>
      </c>
      <c r="B27" t="s">
        <v>482</v>
      </c>
      <c r="C27" s="124">
        <v>11</v>
      </c>
    </row>
    <row r="28" spans="1:3">
      <c r="A28" t="s">
        <v>561</v>
      </c>
      <c r="B28" t="s">
        <v>161</v>
      </c>
      <c r="C28" s="124">
        <v>344</v>
      </c>
    </row>
    <row r="29" spans="1:3">
      <c r="A29" t="s">
        <v>561</v>
      </c>
      <c r="B29" t="s">
        <v>557</v>
      </c>
      <c r="C29" s="124">
        <v>134</v>
      </c>
    </row>
    <row r="30" spans="1:3">
      <c r="A30" t="s">
        <v>561</v>
      </c>
      <c r="B30" t="s">
        <v>207</v>
      </c>
      <c r="C30" s="124">
        <v>625</v>
      </c>
    </row>
    <row r="31" spans="1:3">
      <c r="A31" t="s">
        <v>562</v>
      </c>
      <c r="B31" t="s">
        <v>160</v>
      </c>
      <c r="C31" s="124">
        <v>4601</v>
      </c>
    </row>
    <row r="32" spans="1:3">
      <c r="A32" t="s">
        <v>562</v>
      </c>
      <c r="B32" t="s">
        <v>481</v>
      </c>
      <c r="C32" s="124">
        <v>1460</v>
      </c>
    </row>
    <row r="33" spans="1:3">
      <c r="A33" t="s">
        <v>562</v>
      </c>
      <c r="B33" t="s">
        <v>482</v>
      </c>
      <c r="C33" s="124">
        <v>11</v>
      </c>
    </row>
    <row r="34" spans="1:3">
      <c r="A34" t="s">
        <v>562</v>
      </c>
      <c r="B34" t="s">
        <v>161</v>
      </c>
      <c r="C34" s="124">
        <v>1352</v>
      </c>
    </row>
    <row r="35" spans="1:3">
      <c r="A35" t="s">
        <v>562</v>
      </c>
      <c r="B35" t="s">
        <v>557</v>
      </c>
      <c r="C35" s="124">
        <v>336</v>
      </c>
    </row>
    <row r="36" spans="1:3">
      <c r="A36" t="s">
        <v>562</v>
      </c>
      <c r="B36" t="s">
        <v>207</v>
      </c>
      <c r="C36" s="124">
        <v>1250</v>
      </c>
    </row>
    <row r="37" spans="1:3">
      <c r="A37" t="s">
        <v>563</v>
      </c>
      <c r="B37" t="s">
        <v>160</v>
      </c>
      <c r="C37" s="124">
        <v>5856</v>
      </c>
    </row>
    <row r="38" spans="1:3">
      <c r="A38" t="s">
        <v>563</v>
      </c>
      <c r="B38" t="s">
        <v>481</v>
      </c>
      <c r="C38" s="124">
        <v>900</v>
      </c>
    </row>
    <row r="39" spans="1:3">
      <c r="A39" t="s">
        <v>563</v>
      </c>
      <c r="B39" t="s">
        <v>161</v>
      </c>
      <c r="C39" s="124">
        <v>2161</v>
      </c>
    </row>
    <row r="40" spans="1:3">
      <c r="A40" t="s">
        <v>563</v>
      </c>
      <c r="B40" t="s">
        <v>557</v>
      </c>
      <c r="C40" s="124">
        <v>520</v>
      </c>
    </row>
    <row r="41" spans="1:3">
      <c r="A41" t="s">
        <v>563</v>
      </c>
      <c r="B41" t="s">
        <v>207</v>
      </c>
      <c r="C41" s="124">
        <v>1423</v>
      </c>
    </row>
    <row r="42" spans="1:3">
      <c r="A42" t="s">
        <v>564</v>
      </c>
      <c r="B42" t="s">
        <v>160</v>
      </c>
      <c r="C42" s="124">
        <v>931</v>
      </c>
    </row>
    <row r="43" spans="1:3">
      <c r="A43" t="s">
        <v>564</v>
      </c>
      <c r="B43" t="s">
        <v>481</v>
      </c>
      <c r="C43" s="124">
        <v>160</v>
      </c>
    </row>
    <row r="44" spans="1:3">
      <c r="A44" t="s">
        <v>564</v>
      </c>
      <c r="B44" t="s">
        <v>161</v>
      </c>
      <c r="C44" s="124">
        <v>318</v>
      </c>
    </row>
    <row r="45" spans="1:3">
      <c r="A45" t="s">
        <v>564</v>
      </c>
      <c r="B45" t="s">
        <v>557</v>
      </c>
      <c r="C45" s="124">
        <v>134</v>
      </c>
    </row>
    <row r="46" spans="1:3">
      <c r="A46" t="s">
        <v>564</v>
      </c>
      <c r="B46" t="s">
        <v>207</v>
      </c>
      <c r="C46" s="124">
        <v>24</v>
      </c>
    </row>
    <row r="47" spans="1:3">
      <c r="A47" t="s">
        <v>565</v>
      </c>
      <c r="B47" t="s">
        <v>160</v>
      </c>
      <c r="C47" s="124">
        <v>839</v>
      </c>
    </row>
    <row r="48" spans="1:3">
      <c r="A48" t="s">
        <v>565</v>
      </c>
      <c r="B48" t="s">
        <v>481</v>
      </c>
      <c r="C48" s="124">
        <v>210</v>
      </c>
    </row>
    <row r="49" spans="1:3">
      <c r="A49" t="s">
        <v>565</v>
      </c>
      <c r="B49" t="s">
        <v>482</v>
      </c>
      <c r="C49" s="124">
        <v>12</v>
      </c>
    </row>
    <row r="50" spans="1:3">
      <c r="A50" t="s">
        <v>565</v>
      </c>
      <c r="B50" t="s">
        <v>161</v>
      </c>
      <c r="C50" s="124">
        <v>513</v>
      </c>
    </row>
    <row r="51" spans="1:3">
      <c r="A51" t="s">
        <v>565</v>
      </c>
      <c r="B51" t="s">
        <v>557</v>
      </c>
      <c r="C51" s="124">
        <v>85</v>
      </c>
    </row>
    <row r="52" spans="1:3">
      <c r="A52" t="s">
        <v>565</v>
      </c>
      <c r="B52" t="s">
        <v>207</v>
      </c>
      <c r="C52" s="124">
        <v>68</v>
      </c>
    </row>
    <row r="53" spans="1:3">
      <c r="A53" t="s">
        <v>566</v>
      </c>
      <c r="B53" t="s">
        <v>160</v>
      </c>
      <c r="C53" s="124">
        <v>4903</v>
      </c>
    </row>
    <row r="54" spans="1:3">
      <c r="A54" t="s">
        <v>566</v>
      </c>
      <c r="B54" t="s">
        <v>481</v>
      </c>
      <c r="C54" s="124">
        <v>440</v>
      </c>
    </row>
    <row r="55" spans="1:3">
      <c r="A55" t="s">
        <v>566</v>
      </c>
      <c r="B55" t="s">
        <v>482</v>
      </c>
      <c r="C55" s="124">
        <v>15</v>
      </c>
    </row>
    <row r="56" spans="1:3">
      <c r="A56" t="s">
        <v>566</v>
      </c>
      <c r="B56" t="s">
        <v>161</v>
      </c>
      <c r="C56" s="124">
        <v>909</v>
      </c>
    </row>
    <row r="57" spans="1:3">
      <c r="A57" t="s">
        <v>566</v>
      </c>
      <c r="B57" t="s">
        <v>557</v>
      </c>
      <c r="C57" s="124">
        <v>833</v>
      </c>
    </row>
    <row r="58" spans="1:3">
      <c r="A58" t="s">
        <v>566</v>
      </c>
      <c r="B58" t="s">
        <v>207</v>
      </c>
      <c r="C58" s="124">
        <v>1046</v>
      </c>
    </row>
    <row r="59" spans="1:3">
      <c r="A59" t="s">
        <v>567</v>
      </c>
      <c r="B59" t="s">
        <v>556</v>
      </c>
      <c r="C59" s="124">
        <v>83</v>
      </c>
    </row>
    <row r="60" spans="1:3">
      <c r="A60" t="s">
        <v>567</v>
      </c>
      <c r="B60" t="s">
        <v>160</v>
      </c>
      <c r="C60" s="124">
        <v>5347</v>
      </c>
    </row>
    <row r="61" spans="1:3">
      <c r="A61" t="s">
        <v>567</v>
      </c>
      <c r="B61" t="s">
        <v>481</v>
      </c>
      <c r="C61" s="124">
        <v>550</v>
      </c>
    </row>
    <row r="62" spans="1:3">
      <c r="A62" t="s">
        <v>567</v>
      </c>
      <c r="B62" t="s">
        <v>482</v>
      </c>
      <c r="C62" s="124">
        <v>10</v>
      </c>
    </row>
    <row r="63" spans="1:3">
      <c r="A63" t="s">
        <v>567</v>
      </c>
      <c r="B63" t="s">
        <v>161</v>
      </c>
      <c r="C63" s="124">
        <v>1712</v>
      </c>
    </row>
    <row r="64" spans="1:3">
      <c r="A64" t="s">
        <v>567</v>
      </c>
      <c r="B64" t="s">
        <v>557</v>
      </c>
      <c r="C64" s="124">
        <v>537</v>
      </c>
    </row>
    <row r="65" spans="1:3">
      <c r="A65" t="s">
        <v>567</v>
      </c>
      <c r="B65" t="s">
        <v>207</v>
      </c>
      <c r="C65" s="124">
        <v>80</v>
      </c>
    </row>
    <row r="66" spans="1:3">
      <c r="A66" t="s">
        <v>568</v>
      </c>
      <c r="B66" t="s">
        <v>160</v>
      </c>
      <c r="C66" s="124">
        <v>2071</v>
      </c>
    </row>
    <row r="67" spans="1:3">
      <c r="A67" t="s">
        <v>568</v>
      </c>
      <c r="B67" t="s">
        <v>481</v>
      </c>
      <c r="C67" s="124">
        <v>410</v>
      </c>
    </row>
    <row r="68" spans="1:3">
      <c r="A68" t="s">
        <v>568</v>
      </c>
      <c r="B68" t="s">
        <v>482</v>
      </c>
      <c r="C68" s="124">
        <v>18</v>
      </c>
    </row>
    <row r="69" spans="1:3">
      <c r="A69" t="s">
        <v>568</v>
      </c>
      <c r="B69" t="s">
        <v>161</v>
      </c>
      <c r="C69" s="124">
        <v>922</v>
      </c>
    </row>
    <row r="70" spans="1:3">
      <c r="A70" t="s">
        <v>568</v>
      </c>
      <c r="B70" t="s">
        <v>557</v>
      </c>
      <c r="C70" s="124">
        <v>270</v>
      </c>
    </row>
    <row r="71" spans="1:3">
      <c r="A71" t="s">
        <v>568</v>
      </c>
      <c r="B71" t="s">
        <v>207</v>
      </c>
      <c r="C71" s="124">
        <v>200</v>
      </c>
    </row>
    <row r="72" spans="1:3">
      <c r="A72" t="s">
        <v>569</v>
      </c>
      <c r="B72" t="s">
        <v>160</v>
      </c>
      <c r="C72" s="124">
        <v>2773</v>
      </c>
    </row>
    <row r="73" spans="1:3">
      <c r="A73" t="s">
        <v>569</v>
      </c>
      <c r="B73" t="s">
        <v>481</v>
      </c>
      <c r="C73" s="124">
        <v>50</v>
      </c>
    </row>
    <row r="74" spans="1:3">
      <c r="A74" t="s">
        <v>569</v>
      </c>
      <c r="B74" t="s">
        <v>161</v>
      </c>
      <c r="C74" s="124">
        <v>958</v>
      </c>
    </row>
    <row r="75" spans="1:3">
      <c r="A75" t="s">
        <v>569</v>
      </c>
      <c r="B75" t="s">
        <v>557</v>
      </c>
      <c r="C75" s="124">
        <v>506</v>
      </c>
    </row>
    <row r="76" spans="1:3">
      <c r="A76" t="s">
        <v>569</v>
      </c>
      <c r="B76" t="s">
        <v>207</v>
      </c>
      <c r="C76" s="124">
        <v>533</v>
      </c>
    </row>
    <row r="77" spans="1:3">
      <c r="A77" t="s">
        <v>570</v>
      </c>
      <c r="B77" t="s">
        <v>160</v>
      </c>
      <c r="C77" s="124">
        <v>1135</v>
      </c>
    </row>
    <row r="78" spans="1:3">
      <c r="A78" t="s">
        <v>570</v>
      </c>
      <c r="B78" t="s">
        <v>481</v>
      </c>
      <c r="C78" s="124">
        <v>80</v>
      </c>
    </row>
    <row r="79" spans="1:3">
      <c r="A79" t="s">
        <v>570</v>
      </c>
      <c r="B79" t="s">
        <v>161</v>
      </c>
      <c r="C79" s="124">
        <v>428</v>
      </c>
    </row>
    <row r="80" spans="1:3">
      <c r="A80" t="s">
        <v>570</v>
      </c>
      <c r="B80" t="s">
        <v>557</v>
      </c>
      <c r="C80" s="124">
        <v>286</v>
      </c>
    </row>
    <row r="81" spans="1:3">
      <c r="A81" t="s">
        <v>570</v>
      </c>
      <c r="B81" t="s">
        <v>207</v>
      </c>
      <c r="C81" s="124">
        <v>26</v>
      </c>
    </row>
    <row r="82" spans="1:3">
      <c r="A82" t="s">
        <v>571</v>
      </c>
      <c r="B82" t="s">
        <v>160</v>
      </c>
      <c r="C82" s="124">
        <v>15877</v>
      </c>
    </row>
    <row r="83" spans="1:3">
      <c r="A83" t="s">
        <v>571</v>
      </c>
      <c r="B83" t="s">
        <v>481</v>
      </c>
      <c r="C83" s="124">
        <v>1550</v>
      </c>
    </row>
    <row r="84" spans="1:3">
      <c r="A84" t="s">
        <v>571</v>
      </c>
      <c r="B84" t="s">
        <v>482</v>
      </c>
      <c r="C84" s="124">
        <v>31</v>
      </c>
    </row>
    <row r="85" spans="1:3">
      <c r="A85" t="s">
        <v>571</v>
      </c>
      <c r="B85" t="s">
        <v>161</v>
      </c>
      <c r="C85" s="124">
        <v>2613</v>
      </c>
    </row>
    <row r="86" spans="1:3">
      <c r="A86" t="s">
        <v>571</v>
      </c>
      <c r="B86" t="s">
        <v>557</v>
      </c>
      <c r="C86" s="124">
        <v>1574</v>
      </c>
    </row>
    <row r="87" spans="1:3">
      <c r="A87" t="s">
        <v>571</v>
      </c>
      <c r="B87" t="s">
        <v>207</v>
      </c>
      <c r="C87" s="124">
        <v>1630</v>
      </c>
    </row>
    <row r="88" spans="1:3">
      <c r="A88" t="s">
        <v>572</v>
      </c>
      <c r="B88" t="s">
        <v>160</v>
      </c>
      <c r="C88" s="124">
        <v>11187</v>
      </c>
    </row>
    <row r="89" spans="1:3">
      <c r="A89" t="s">
        <v>572</v>
      </c>
      <c r="B89" t="s">
        <v>481</v>
      </c>
      <c r="C89" s="124">
        <v>700</v>
      </c>
    </row>
    <row r="90" spans="1:3">
      <c r="A90" t="s">
        <v>572</v>
      </c>
      <c r="B90" t="s">
        <v>161</v>
      </c>
      <c r="C90" s="124">
        <v>4226</v>
      </c>
    </row>
    <row r="91" spans="1:3">
      <c r="A91" t="s">
        <v>572</v>
      </c>
      <c r="B91" t="s">
        <v>557</v>
      </c>
      <c r="C91" s="124">
        <v>1113</v>
      </c>
    </row>
    <row r="92" spans="1:3">
      <c r="A92" t="s">
        <v>572</v>
      </c>
      <c r="B92" t="s">
        <v>207</v>
      </c>
      <c r="C92" s="124">
        <v>1115</v>
      </c>
    </row>
    <row r="93" spans="1:3">
      <c r="A93" t="s">
        <v>573</v>
      </c>
      <c r="B93" t="s">
        <v>160</v>
      </c>
      <c r="C93" s="124">
        <v>479</v>
      </c>
    </row>
    <row r="94" spans="1:3">
      <c r="A94" t="s">
        <v>573</v>
      </c>
      <c r="B94" t="s">
        <v>161</v>
      </c>
      <c r="C94" s="124">
        <v>206</v>
      </c>
    </row>
    <row r="95" spans="1:3">
      <c r="A95" t="s">
        <v>573</v>
      </c>
      <c r="B95" t="s">
        <v>557</v>
      </c>
      <c r="C95" s="124">
        <v>122</v>
      </c>
    </row>
    <row r="98" spans="1:3">
      <c r="A98" s="40" t="s">
        <v>574</v>
      </c>
    </row>
    <row r="99" spans="1:3">
      <c r="A99" t="s">
        <v>91</v>
      </c>
      <c r="B99" t="s">
        <v>474</v>
      </c>
      <c r="C99" s="124" t="s">
        <v>575</v>
      </c>
    </row>
    <row r="100" spans="1:3">
      <c r="A100" t="s">
        <v>555</v>
      </c>
      <c r="B100" t="s">
        <v>160</v>
      </c>
      <c r="C100" s="124">
        <v>65490</v>
      </c>
    </row>
    <row r="101" spans="1:3">
      <c r="A101" t="s">
        <v>555</v>
      </c>
      <c r="B101" t="s">
        <v>481</v>
      </c>
      <c r="C101" s="124">
        <v>5204</v>
      </c>
    </row>
    <row r="102" spans="1:3">
      <c r="A102" t="s">
        <v>555</v>
      </c>
      <c r="B102" t="s">
        <v>161</v>
      </c>
      <c r="C102" s="124">
        <v>8100</v>
      </c>
    </row>
    <row r="103" spans="1:3">
      <c r="A103" t="s">
        <v>555</v>
      </c>
      <c r="B103" t="s">
        <v>576</v>
      </c>
      <c r="C103" s="124">
        <v>1118</v>
      </c>
    </row>
    <row r="104" spans="1:3">
      <c r="A104" t="s">
        <v>555</v>
      </c>
      <c r="B104" t="s">
        <v>557</v>
      </c>
      <c r="C104" s="124">
        <v>2734</v>
      </c>
    </row>
    <row r="105" spans="1:3">
      <c r="A105" t="s">
        <v>558</v>
      </c>
      <c r="B105" t="s">
        <v>160</v>
      </c>
      <c r="C105" s="124">
        <v>12563</v>
      </c>
    </row>
    <row r="106" spans="1:3">
      <c r="A106" t="s">
        <v>558</v>
      </c>
      <c r="B106" t="s">
        <v>481</v>
      </c>
      <c r="C106" s="124">
        <v>1094</v>
      </c>
    </row>
    <row r="107" spans="1:3">
      <c r="A107" t="s">
        <v>558</v>
      </c>
      <c r="B107" t="s">
        <v>161</v>
      </c>
      <c r="C107" s="124">
        <v>2145</v>
      </c>
    </row>
    <row r="108" spans="1:3">
      <c r="A108" t="s">
        <v>558</v>
      </c>
      <c r="B108" t="s">
        <v>576</v>
      </c>
      <c r="C108" s="124">
        <v>1422</v>
      </c>
    </row>
    <row r="109" spans="1:3">
      <c r="A109" t="s">
        <v>558</v>
      </c>
      <c r="B109" t="s">
        <v>557</v>
      </c>
      <c r="C109" s="124">
        <v>1056</v>
      </c>
    </row>
    <row r="110" spans="1:3">
      <c r="A110" t="s">
        <v>559</v>
      </c>
      <c r="B110" t="s">
        <v>160</v>
      </c>
      <c r="C110" s="124">
        <v>24571</v>
      </c>
    </row>
    <row r="111" spans="1:3">
      <c r="A111" t="s">
        <v>559</v>
      </c>
      <c r="B111" t="s">
        <v>481</v>
      </c>
      <c r="C111" s="124">
        <v>626</v>
      </c>
    </row>
    <row r="112" spans="1:3">
      <c r="A112" t="s">
        <v>559</v>
      </c>
      <c r="B112" t="s">
        <v>161</v>
      </c>
      <c r="C112" s="124">
        <v>3263</v>
      </c>
    </row>
    <row r="113" spans="1:3">
      <c r="A113" t="s">
        <v>559</v>
      </c>
      <c r="B113" t="s">
        <v>576</v>
      </c>
      <c r="C113" s="124">
        <v>175</v>
      </c>
    </row>
    <row r="114" spans="1:3">
      <c r="A114" t="s">
        <v>559</v>
      </c>
      <c r="B114" t="s">
        <v>557</v>
      </c>
      <c r="C114" s="124">
        <v>1568</v>
      </c>
    </row>
    <row r="115" spans="1:3">
      <c r="A115" t="s">
        <v>561</v>
      </c>
      <c r="B115" t="s">
        <v>160</v>
      </c>
      <c r="C115" s="124">
        <v>1488</v>
      </c>
    </row>
    <row r="116" spans="1:3">
      <c r="A116" t="s">
        <v>561</v>
      </c>
      <c r="B116" t="s">
        <v>481</v>
      </c>
      <c r="C116" s="124">
        <v>31</v>
      </c>
    </row>
    <row r="117" spans="1:3">
      <c r="A117" t="s">
        <v>561</v>
      </c>
      <c r="B117" t="s">
        <v>161</v>
      </c>
      <c r="C117" s="124">
        <v>406</v>
      </c>
    </row>
    <row r="118" spans="1:3">
      <c r="A118" t="s">
        <v>561</v>
      </c>
      <c r="B118" t="s">
        <v>576</v>
      </c>
      <c r="C118" s="124">
        <v>476</v>
      </c>
    </row>
    <row r="119" spans="1:3">
      <c r="A119" t="s">
        <v>561</v>
      </c>
      <c r="B119" t="s">
        <v>557</v>
      </c>
      <c r="C119" s="124">
        <v>94</v>
      </c>
    </row>
    <row r="120" spans="1:3">
      <c r="A120" t="s">
        <v>562</v>
      </c>
      <c r="B120" t="s">
        <v>160</v>
      </c>
      <c r="C120" s="124">
        <v>5506</v>
      </c>
    </row>
    <row r="121" spans="1:3">
      <c r="A121" t="s">
        <v>562</v>
      </c>
      <c r="B121" t="s">
        <v>481</v>
      </c>
      <c r="C121" s="124">
        <v>1181</v>
      </c>
    </row>
    <row r="122" spans="1:3">
      <c r="A122" t="s">
        <v>562</v>
      </c>
      <c r="B122" t="s">
        <v>161</v>
      </c>
      <c r="C122" s="124">
        <v>1633</v>
      </c>
    </row>
    <row r="123" spans="1:3">
      <c r="A123" t="s">
        <v>562</v>
      </c>
      <c r="B123" t="s">
        <v>576</v>
      </c>
      <c r="C123" s="124">
        <v>952</v>
      </c>
    </row>
    <row r="124" spans="1:3">
      <c r="A124" t="s">
        <v>562</v>
      </c>
      <c r="B124" t="s">
        <v>557</v>
      </c>
      <c r="C124" s="124">
        <v>210</v>
      </c>
    </row>
    <row r="125" spans="1:3">
      <c r="A125" t="s">
        <v>577</v>
      </c>
      <c r="B125" t="s">
        <v>160</v>
      </c>
      <c r="C125" s="124">
        <v>7367</v>
      </c>
    </row>
    <row r="126" spans="1:3">
      <c r="A126" t="s">
        <v>577</v>
      </c>
      <c r="B126" t="s">
        <v>481</v>
      </c>
      <c r="C126" s="124">
        <v>521</v>
      </c>
    </row>
    <row r="127" spans="1:3">
      <c r="A127" t="s">
        <v>577</v>
      </c>
      <c r="B127" t="s">
        <v>161</v>
      </c>
      <c r="C127" s="124">
        <v>2753</v>
      </c>
    </row>
    <row r="128" spans="1:3">
      <c r="A128" t="s">
        <v>577</v>
      </c>
      <c r="B128" t="s">
        <v>576</v>
      </c>
      <c r="C128" s="124">
        <v>960</v>
      </c>
    </row>
    <row r="129" spans="1:3">
      <c r="A129" t="s">
        <v>577</v>
      </c>
      <c r="B129" t="s">
        <v>557</v>
      </c>
      <c r="C129" s="124">
        <v>569</v>
      </c>
    </row>
    <row r="130" spans="1:3">
      <c r="A130" t="s">
        <v>564</v>
      </c>
      <c r="B130" t="s">
        <v>160</v>
      </c>
      <c r="C130" s="124">
        <v>1206</v>
      </c>
    </row>
    <row r="131" spans="1:3">
      <c r="A131" t="s">
        <v>564</v>
      </c>
      <c r="B131" t="s">
        <v>481</v>
      </c>
      <c r="C131" s="124">
        <v>106</v>
      </c>
    </row>
    <row r="132" spans="1:3">
      <c r="A132" t="s">
        <v>564</v>
      </c>
      <c r="B132" t="s">
        <v>161</v>
      </c>
      <c r="C132" s="124">
        <v>394</v>
      </c>
    </row>
    <row r="133" spans="1:3">
      <c r="A133" t="s">
        <v>564</v>
      </c>
      <c r="B133" t="s">
        <v>576</v>
      </c>
      <c r="C133" s="124">
        <v>23</v>
      </c>
    </row>
    <row r="134" spans="1:3">
      <c r="A134" t="s">
        <v>564</v>
      </c>
      <c r="B134" t="s">
        <v>557</v>
      </c>
      <c r="C134" s="124">
        <v>100</v>
      </c>
    </row>
    <row r="135" spans="1:3">
      <c r="A135" t="s">
        <v>565</v>
      </c>
      <c r="B135" t="s">
        <v>160</v>
      </c>
      <c r="C135" s="124">
        <v>974</v>
      </c>
    </row>
    <row r="136" spans="1:3">
      <c r="A136" t="s">
        <v>565</v>
      </c>
      <c r="B136" t="s">
        <v>481</v>
      </c>
      <c r="C136" s="124">
        <v>176</v>
      </c>
    </row>
    <row r="137" spans="1:3">
      <c r="A137" t="s">
        <v>565</v>
      </c>
      <c r="B137" t="s">
        <v>161</v>
      </c>
      <c r="C137" s="124">
        <v>588</v>
      </c>
    </row>
    <row r="138" spans="1:3">
      <c r="A138" t="s">
        <v>565</v>
      </c>
      <c r="B138" t="s">
        <v>576</v>
      </c>
      <c r="C138" s="124">
        <v>55</v>
      </c>
    </row>
    <row r="139" spans="1:3">
      <c r="A139" t="s">
        <v>565</v>
      </c>
      <c r="B139" t="s">
        <v>557</v>
      </c>
      <c r="C139" s="124">
        <v>145</v>
      </c>
    </row>
    <row r="140" spans="1:3">
      <c r="A140" t="s">
        <v>566</v>
      </c>
      <c r="B140" t="s">
        <v>578</v>
      </c>
      <c r="C140" s="124">
        <v>381</v>
      </c>
    </row>
    <row r="141" spans="1:3">
      <c r="A141" t="s">
        <v>566</v>
      </c>
      <c r="B141" t="s">
        <v>160</v>
      </c>
      <c r="C141" s="124">
        <v>6234</v>
      </c>
    </row>
    <row r="142" spans="1:3">
      <c r="A142" t="s">
        <v>566</v>
      </c>
      <c r="B142" t="s">
        <v>481</v>
      </c>
      <c r="C142" s="124">
        <v>268</v>
      </c>
    </row>
    <row r="143" spans="1:3">
      <c r="A143" t="s">
        <v>566</v>
      </c>
      <c r="B143" t="s">
        <v>161</v>
      </c>
      <c r="C143" s="124">
        <v>1401</v>
      </c>
    </row>
    <row r="144" spans="1:3">
      <c r="A144" t="s">
        <v>566</v>
      </c>
      <c r="B144" t="s">
        <v>576</v>
      </c>
      <c r="C144" s="124">
        <v>750</v>
      </c>
    </row>
    <row r="145" spans="1:3">
      <c r="A145" t="s">
        <v>566</v>
      </c>
      <c r="B145" t="s">
        <v>579</v>
      </c>
      <c r="C145" s="124">
        <v>400</v>
      </c>
    </row>
    <row r="146" spans="1:3">
      <c r="A146" t="s">
        <v>566</v>
      </c>
      <c r="B146" t="s">
        <v>557</v>
      </c>
      <c r="C146" s="124">
        <v>580</v>
      </c>
    </row>
    <row r="147" spans="1:3">
      <c r="A147" t="s">
        <v>567</v>
      </c>
      <c r="B147" t="s">
        <v>160</v>
      </c>
      <c r="C147" s="124">
        <v>6678</v>
      </c>
    </row>
    <row r="148" spans="1:3">
      <c r="A148" t="s">
        <v>567</v>
      </c>
      <c r="B148" t="s">
        <v>481</v>
      </c>
      <c r="C148" s="124">
        <v>421</v>
      </c>
    </row>
    <row r="149" spans="1:3">
      <c r="A149" t="s">
        <v>567</v>
      </c>
      <c r="B149" t="s">
        <v>161</v>
      </c>
      <c r="C149" s="124">
        <v>1877</v>
      </c>
    </row>
    <row r="150" spans="1:3">
      <c r="A150" t="s">
        <v>567</v>
      </c>
      <c r="B150" t="s">
        <v>576</v>
      </c>
      <c r="C150" s="124">
        <v>70</v>
      </c>
    </row>
    <row r="151" spans="1:3">
      <c r="A151" t="s">
        <v>567</v>
      </c>
      <c r="B151" t="s">
        <v>557</v>
      </c>
      <c r="C151" s="124">
        <v>443</v>
      </c>
    </row>
    <row r="152" spans="1:3">
      <c r="A152" t="s">
        <v>568</v>
      </c>
      <c r="B152" t="s">
        <v>160</v>
      </c>
      <c r="C152" s="124">
        <v>2691</v>
      </c>
    </row>
    <row r="153" spans="1:3">
      <c r="A153" t="s">
        <v>568</v>
      </c>
      <c r="B153" t="s">
        <v>481</v>
      </c>
      <c r="C153" s="124">
        <v>307</v>
      </c>
    </row>
    <row r="154" spans="1:3">
      <c r="A154" t="s">
        <v>568</v>
      </c>
      <c r="B154" t="s">
        <v>161</v>
      </c>
      <c r="C154" s="124">
        <v>919</v>
      </c>
    </row>
    <row r="155" spans="1:3">
      <c r="A155" t="s">
        <v>568</v>
      </c>
      <c r="B155" t="s">
        <v>576</v>
      </c>
      <c r="C155" s="124">
        <v>162</v>
      </c>
    </row>
    <row r="156" spans="1:3">
      <c r="A156" t="s">
        <v>568</v>
      </c>
      <c r="B156" t="s">
        <v>557</v>
      </c>
      <c r="C156" s="124">
        <v>185</v>
      </c>
    </row>
    <row r="157" spans="1:3">
      <c r="A157" t="s">
        <v>569</v>
      </c>
      <c r="B157" t="s">
        <v>160</v>
      </c>
      <c r="C157" s="124">
        <v>3634</v>
      </c>
    </row>
    <row r="158" spans="1:3">
      <c r="A158" t="s">
        <v>569</v>
      </c>
      <c r="B158" t="s">
        <v>481</v>
      </c>
      <c r="C158" s="124">
        <v>58</v>
      </c>
    </row>
    <row r="159" spans="1:3">
      <c r="A159" t="s">
        <v>569</v>
      </c>
      <c r="B159" t="s">
        <v>161</v>
      </c>
      <c r="C159" s="124">
        <v>1390</v>
      </c>
    </row>
    <row r="160" spans="1:3">
      <c r="A160" t="s">
        <v>569</v>
      </c>
      <c r="B160" t="s">
        <v>576</v>
      </c>
      <c r="C160" s="124">
        <v>351</v>
      </c>
    </row>
    <row r="161" spans="1:3">
      <c r="A161" t="s">
        <v>569</v>
      </c>
      <c r="B161" t="s">
        <v>557</v>
      </c>
      <c r="C161" s="124">
        <v>472</v>
      </c>
    </row>
    <row r="162" spans="1:3">
      <c r="A162" t="s">
        <v>570</v>
      </c>
      <c r="B162" t="s">
        <v>160</v>
      </c>
      <c r="C162" s="124">
        <v>1383</v>
      </c>
    </row>
    <row r="163" spans="1:3">
      <c r="A163" t="s">
        <v>570</v>
      </c>
      <c r="B163" t="s">
        <v>481</v>
      </c>
      <c r="C163" s="124">
        <v>64</v>
      </c>
    </row>
    <row r="164" spans="1:3">
      <c r="A164" t="s">
        <v>570</v>
      </c>
      <c r="B164" t="s">
        <v>161</v>
      </c>
      <c r="C164" s="124">
        <v>494</v>
      </c>
    </row>
    <row r="165" spans="1:3">
      <c r="A165" t="s">
        <v>570</v>
      </c>
      <c r="B165" t="s">
        <v>576</v>
      </c>
      <c r="C165" s="124">
        <v>17</v>
      </c>
    </row>
    <row r="166" spans="1:3">
      <c r="A166" t="s">
        <v>570</v>
      </c>
      <c r="B166" t="s">
        <v>557</v>
      </c>
      <c r="C166" s="124">
        <v>255</v>
      </c>
    </row>
    <row r="167" spans="1:3">
      <c r="A167" t="s">
        <v>571</v>
      </c>
      <c r="B167" t="s">
        <v>160</v>
      </c>
      <c r="C167" s="124">
        <v>18799</v>
      </c>
    </row>
    <row r="168" spans="1:3">
      <c r="A168" t="s">
        <v>571</v>
      </c>
      <c r="B168" t="s">
        <v>481</v>
      </c>
      <c r="C168" s="124">
        <v>1119</v>
      </c>
    </row>
    <row r="169" spans="1:3">
      <c r="A169" t="s">
        <v>571</v>
      </c>
      <c r="B169" t="s">
        <v>161</v>
      </c>
      <c r="C169" s="124">
        <v>3718</v>
      </c>
    </row>
    <row r="170" spans="1:3">
      <c r="A170" t="s">
        <v>571</v>
      </c>
      <c r="B170" t="s">
        <v>576</v>
      </c>
      <c r="C170" s="124">
        <v>1134</v>
      </c>
    </row>
    <row r="171" spans="1:3">
      <c r="A171" t="s">
        <v>571</v>
      </c>
      <c r="B171" t="s">
        <v>557</v>
      </c>
      <c r="C171" s="124">
        <v>1582</v>
      </c>
    </row>
    <row r="172" spans="1:3">
      <c r="A172" t="s">
        <v>572</v>
      </c>
      <c r="B172" t="s">
        <v>160</v>
      </c>
      <c r="C172" s="124">
        <v>14519</v>
      </c>
    </row>
    <row r="173" spans="1:3">
      <c r="A173" t="s">
        <v>572</v>
      </c>
      <c r="B173" t="s">
        <v>481</v>
      </c>
      <c r="C173" s="124">
        <v>355</v>
      </c>
    </row>
    <row r="174" spans="1:3">
      <c r="A174" t="s">
        <v>572</v>
      </c>
      <c r="B174" t="s">
        <v>161</v>
      </c>
      <c r="C174" s="124">
        <v>5828</v>
      </c>
    </row>
    <row r="175" spans="1:3">
      <c r="A175" t="s">
        <v>572</v>
      </c>
      <c r="B175" t="s">
        <v>576</v>
      </c>
      <c r="C175" s="124">
        <v>847</v>
      </c>
    </row>
    <row r="176" spans="1:3">
      <c r="A176" t="s">
        <v>572</v>
      </c>
      <c r="B176" t="s">
        <v>557</v>
      </c>
      <c r="C176" s="124">
        <v>1649</v>
      </c>
    </row>
    <row r="177" spans="1:3">
      <c r="A177" t="s">
        <v>573</v>
      </c>
      <c r="B177" t="s">
        <v>160</v>
      </c>
      <c r="C177" s="124">
        <v>617</v>
      </c>
    </row>
    <row r="178" spans="1:3">
      <c r="A178" t="s">
        <v>573</v>
      </c>
      <c r="B178" t="s">
        <v>161</v>
      </c>
      <c r="C178" s="124">
        <v>248</v>
      </c>
    </row>
    <row r="179" spans="1:3">
      <c r="A179" t="s">
        <v>573</v>
      </c>
      <c r="B179" t="s">
        <v>557</v>
      </c>
      <c r="C179" s="124">
        <v>80</v>
      </c>
    </row>
  </sheetData>
  <pageMargins left="0.7" right="0.7" top="0.75" bottom="0.75" header="0.3" footer="0.3"/>
  <tableParts count="2">
    <tablePart r:id="rId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6A2C1-426B-4241-A591-381B33F75450}">
  <dimension ref="A1:C68"/>
  <sheetViews>
    <sheetView workbookViewId="0">
      <selection activeCell="I31" sqref="I31"/>
    </sheetView>
  </sheetViews>
  <sheetFormatPr defaultRowHeight="14.65"/>
  <sheetData>
    <row r="1" spans="1:3">
      <c r="A1" t="s">
        <v>580</v>
      </c>
    </row>
    <row r="2" spans="1:3">
      <c r="B2" t="s">
        <v>581</v>
      </c>
    </row>
    <row r="3" spans="1:3">
      <c r="A3" t="s">
        <v>247</v>
      </c>
      <c r="B3" t="s">
        <v>582</v>
      </c>
      <c r="C3" t="s">
        <v>583</v>
      </c>
    </row>
    <row r="4" spans="1:3">
      <c r="A4" t="s">
        <v>247</v>
      </c>
      <c r="B4" t="s">
        <v>584</v>
      </c>
      <c r="C4" t="s">
        <v>584</v>
      </c>
    </row>
    <row r="5" spans="1:3">
      <c r="A5">
        <v>1991</v>
      </c>
      <c r="B5">
        <v>1730000</v>
      </c>
      <c r="C5">
        <v>1786000</v>
      </c>
    </row>
    <row r="6" spans="1:3">
      <c r="A6">
        <v>1992</v>
      </c>
      <c r="B6">
        <v>1749100</v>
      </c>
      <c r="C6">
        <v>1803100</v>
      </c>
    </row>
    <row r="7" spans="1:3">
      <c r="A7">
        <v>1993</v>
      </c>
      <c r="B7">
        <v>1772500</v>
      </c>
      <c r="C7">
        <v>1825400</v>
      </c>
    </row>
    <row r="8" spans="1:3">
      <c r="A8">
        <v>1994</v>
      </c>
      <c r="B8">
        <v>1797800</v>
      </c>
      <c r="C8">
        <v>1850400</v>
      </c>
    </row>
    <row r="9" spans="1:3">
      <c r="A9">
        <v>1995</v>
      </c>
      <c r="B9">
        <v>1828000</v>
      </c>
      <c r="C9">
        <v>1878700</v>
      </c>
    </row>
    <row r="10" spans="1:3">
      <c r="A10">
        <v>1996</v>
      </c>
      <c r="B10">
        <v>1855400</v>
      </c>
      <c r="C10">
        <v>1906900</v>
      </c>
    </row>
    <row r="11" spans="1:3">
      <c r="A11">
        <v>1997</v>
      </c>
      <c r="B11">
        <v>1872900</v>
      </c>
      <c r="C11">
        <v>1929700</v>
      </c>
    </row>
    <row r="12" spans="1:3">
      <c r="A12">
        <v>1998</v>
      </c>
      <c r="B12">
        <v>1883300</v>
      </c>
      <c r="C12">
        <v>1945900</v>
      </c>
    </row>
    <row r="13" spans="1:3">
      <c r="A13">
        <v>1999</v>
      </c>
      <c r="B13">
        <v>1891700</v>
      </c>
      <c r="C13">
        <v>1959500</v>
      </c>
    </row>
    <row r="14" spans="1:3">
      <c r="A14">
        <v>2000</v>
      </c>
      <c r="B14">
        <v>1900400</v>
      </c>
      <c r="C14">
        <v>1972600</v>
      </c>
    </row>
    <row r="15" spans="1:3">
      <c r="A15">
        <v>2001</v>
      </c>
      <c r="B15">
        <v>1920500</v>
      </c>
      <c r="C15">
        <v>1995700</v>
      </c>
    </row>
    <row r="16" spans="1:3">
      <c r="A16">
        <v>2002</v>
      </c>
      <c r="B16">
        <v>1956700</v>
      </c>
      <c r="C16">
        <v>2032900</v>
      </c>
    </row>
    <row r="17" spans="1:3">
      <c r="A17">
        <v>2003</v>
      </c>
      <c r="B17">
        <v>1991800</v>
      </c>
      <c r="C17">
        <v>2069800</v>
      </c>
    </row>
    <row r="18" spans="1:3">
      <c r="A18">
        <v>2004</v>
      </c>
      <c r="B18">
        <v>2016200</v>
      </c>
      <c r="C18">
        <v>2098100</v>
      </c>
    </row>
    <row r="19" spans="1:3">
      <c r="A19">
        <v>2005</v>
      </c>
      <c r="B19">
        <v>2037700</v>
      </c>
      <c r="C19">
        <v>2123300</v>
      </c>
    </row>
    <row r="20" spans="1:3">
      <c r="A20">
        <v>2006</v>
      </c>
      <c r="B20">
        <v>2059600</v>
      </c>
      <c r="C20">
        <v>2149500</v>
      </c>
    </row>
    <row r="21" spans="1:3">
      <c r="A21">
        <v>2007</v>
      </c>
      <c r="B21">
        <v>2076800</v>
      </c>
      <c r="C21">
        <v>2169000</v>
      </c>
    </row>
    <row r="22" spans="1:3">
      <c r="A22">
        <v>2008</v>
      </c>
      <c r="B22">
        <v>2093300</v>
      </c>
      <c r="C22">
        <v>2187000</v>
      </c>
    </row>
    <row r="23" spans="1:3">
      <c r="A23">
        <v>2009</v>
      </c>
      <c r="B23">
        <v>2119200</v>
      </c>
      <c r="C23">
        <v>2213000</v>
      </c>
    </row>
    <row r="24" spans="1:3">
      <c r="A24">
        <v>2010</v>
      </c>
      <c r="B24">
        <v>2139200</v>
      </c>
      <c r="C24">
        <v>2234700</v>
      </c>
    </row>
    <row r="25" spans="1:3">
      <c r="A25">
        <v>2011</v>
      </c>
      <c r="B25">
        <v>2151100</v>
      </c>
      <c r="C25">
        <v>2248300</v>
      </c>
    </row>
    <row r="26" spans="1:3">
      <c r="A26">
        <v>2012</v>
      </c>
      <c r="B26">
        <v>2163800</v>
      </c>
      <c r="C26">
        <v>2262000</v>
      </c>
    </row>
    <row r="27" spans="1:3">
      <c r="A27">
        <v>2013</v>
      </c>
      <c r="B27">
        <v>2192500</v>
      </c>
      <c r="C27">
        <v>2284900</v>
      </c>
    </row>
    <row r="28" spans="1:3">
      <c r="A28">
        <v>2014</v>
      </c>
      <c r="B28">
        <v>2243700</v>
      </c>
      <c r="C28">
        <v>2320700</v>
      </c>
    </row>
    <row r="29" spans="1:3">
      <c r="A29">
        <v>2015</v>
      </c>
      <c r="B29">
        <v>2300500</v>
      </c>
      <c r="C29">
        <v>2363200</v>
      </c>
    </row>
    <row r="30" spans="1:3">
      <c r="A30">
        <v>2016</v>
      </c>
      <c r="B30">
        <v>2357300</v>
      </c>
      <c r="C30">
        <v>2410300</v>
      </c>
    </row>
    <row r="31" spans="1:3">
      <c r="A31">
        <v>2017</v>
      </c>
      <c r="B31">
        <v>2407400</v>
      </c>
      <c r="C31">
        <v>2452100</v>
      </c>
    </row>
    <row r="32" spans="1:3">
      <c r="A32">
        <v>2018</v>
      </c>
      <c r="B32">
        <v>2448800</v>
      </c>
      <c r="C32">
        <v>2487900</v>
      </c>
    </row>
    <row r="33" spans="1:3">
      <c r="A33">
        <v>2019</v>
      </c>
      <c r="B33">
        <v>2496300</v>
      </c>
      <c r="C33">
        <v>2530800</v>
      </c>
    </row>
    <row r="34" spans="1:3">
      <c r="A34">
        <v>2020</v>
      </c>
      <c r="B34">
        <v>2523100</v>
      </c>
      <c r="C34">
        <v>2558300</v>
      </c>
    </row>
    <row r="35" spans="1:3">
      <c r="A35">
        <v>2021</v>
      </c>
      <c r="B35">
        <v>2524900</v>
      </c>
      <c r="C35">
        <v>2560400</v>
      </c>
    </row>
    <row r="36" spans="1:3">
      <c r="A36">
        <v>2022</v>
      </c>
      <c r="B36">
        <v>2543500</v>
      </c>
      <c r="C36">
        <v>2577200</v>
      </c>
    </row>
    <row r="37" spans="1:3">
      <c r="A37">
        <v>2023</v>
      </c>
      <c r="B37">
        <v>2621900</v>
      </c>
      <c r="C37">
        <v>2641200</v>
      </c>
    </row>
    <row r="38" spans="1:3">
      <c r="A38">
        <v>2024</v>
      </c>
      <c r="B38">
        <v>2640300</v>
      </c>
      <c r="C38">
        <v>2668300</v>
      </c>
    </row>
    <row r="39" spans="1:3">
      <c r="A39" t="s">
        <v>585</v>
      </c>
    </row>
    <row r="40" spans="1:3">
      <c r="A40" t="s">
        <v>586</v>
      </c>
    </row>
    <row r="41" spans="1:3">
      <c r="A41" t="s">
        <v>587</v>
      </c>
    </row>
    <row r="43" spans="1:3">
      <c r="A43" t="s">
        <v>588</v>
      </c>
    </row>
    <row r="44" spans="1:3">
      <c r="A44" t="s">
        <v>589</v>
      </c>
    </row>
    <row r="45" spans="1:3">
      <c r="A45" t="s">
        <v>590</v>
      </c>
    </row>
    <row r="46" spans="1:3">
      <c r="A46" t="s">
        <v>591</v>
      </c>
    </row>
    <row r="47" spans="1:3">
      <c r="A47" t="s">
        <v>592</v>
      </c>
    </row>
    <row r="48" spans="1:3">
      <c r="A48" t="s">
        <v>247</v>
      </c>
    </row>
    <row r="49" spans="1:1">
      <c r="A49" t="s">
        <v>593</v>
      </c>
    </row>
    <row r="50" spans="1:1">
      <c r="A50" t="s">
        <v>594</v>
      </c>
    </row>
    <row r="51" spans="1:1">
      <c r="A51" t="s">
        <v>595</v>
      </c>
    </row>
    <row r="52" spans="1:1">
      <c r="A52" t="s">
        <v>596</v>
      </c>
    </row>
    <row r="53" spans="1:1">
      <c r="A53" t="s">
        <v>597</v>
      </c>
    </row>
    <row r="54" spans="1:1">
      <c r="A54" t="s">
        <v>598</v>
      </c>
    </row>
    <row r="55" spans="1:1">
      <c r="A55" t="s">
        <v>599</v>
      </c>
    </row>
    <row r="57" spans="1:1">
      <c r="A57" t="s">
        <v>600</v>
      </c>
    </row>
    <row r="59" spans="1:1">
      <c r="A59" t="s">
        <v>601</v>
      </c>
    </row>
    <row r="60" spans="1:1">
      <c r="A60" t="s">
        <v>602</v>
      </c>
    </row>
    <row r="62" spans="1:1">
      <c r="A62" t="s">
        <v>603</v>
      </c>
    </row>
    <row r="63" spans="1:1">
      <c r="A63" t="s">
        <v>604</v>
      </c>
    </row>
    <row r="65" spans="1:1">
      <c r="A65" t="s">
        <v>605</v>
      </c>
    </row>
    <row r="66" spans="1:1">
      <c r="A66" t="s">
        <v>606</v>
      </c>
    </row>
    <row r="67" spans="1:1">
      <c r="A67" t="s">
        <v>607</v>
      </c>
    </row>
    <row r="68" spans="1:1">
      <c r="A68" t="s">
        <v>608</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A2938-C1DF-4388-9776-A44F76E31B79}">
  <dimension ref="A1:O45"/>
  <sheetViews>
    <sheetView workbookViewId="0">
      <pane ySplit="5" topLeftCell="A9" activePane="bottomLeft" state="frozen"/>
      <selection pane="bottomLeft" activeCell="I31" sqref="I31"/>
      <selection activeCell="I31" sqref="I31"/>
    </sheetView>
  </sheetViews>
  <sheetFormatPr defaultRowHeight="14.65"/>
  <cols>
    <col min="2" max="2" width="12" bestFit="1" customWidth="1"/>
    <col min="3" max="3" width="14.28515625" bestFit="1" customWidth="1"/>
    <col min="4" max="4" width="19.42578125" bestFit="1" customWidth="1"/>
    <col min="8" max="13" width="16.42578125" customWidth="1"/>
    <col min="17" max="17" width="24.7109375" customWidth="1"/>
  </cols>
  <sheetData>
    <row r="1" spans="1:15">
      <c r="A1" t="s">
        <v>609</v>
      </c>
    </row>
    <row r="2" spans="1:15">
      <c r="A2" t="s">
        <v>536</v>
      </c>
    </row>
    <row r="4" spans="1:15">
      <c r="H4" t="s">
        <v>610</v>
      </c>
    </row>
    <row r="5" spans="1:15">
      <c r="A5" s="29" t="s">
        <v>159</v>
      </c>
      <c r="B5" s="30" t="s">
        <v>611</v>
      </c>
      <c r="C5" s="30" t="s">
        <v>612</v>
      </c>
      <c r="D5" s="30" t="s">
        <v>613</v>
      </c>
      <c r="E5" s="31" t="s">
        <v>614</v>
      </c>
      <c r="G5" s="32" t="s">
        <v>159</v>
      </c>
      <c r="H5" s="32" t="s">
        <v>537</v>
      </c>
      <c r="I5" s="32" t="s">
        <v>615</v>
      </c>
      <c r="J5" s="32" t="s">
        <v>539</v>
      </c>
      <c r="K5" s="32" t="s">
        <v>540</v>
      </c>
      <c r="L5" s="32" t="s">
        <v>541</v>
      </c>
      <c r="M5" s="32" t="s">
        <v>542</v>
      </c>
      <c r="N5" s="32" t="s">
        <v>543</v>
      </c>
      <c r="O5" s="32" t="s">
        <v>544</v>
      </c>
    </row>
    <row r="6" spans="1:15">
      <c r="A6" s="20">
        <v>2015</v>
      </c>
      <c r="B6" s="21" t="s">
        <v>616</v>
      </c>
      <c r="C6" s="21" t="s">
        <v>617</v>
      </c>
      <c r="D6" s="21" t="s">
        <v>551</v>
      </c>
      <c r="E6" s="22">
        <v>21324</v>
      </c>
      <c r="G6">
        <v>2015</v>
      </c>
      <c r="H6">
        <v>203658</v>
      </c>
      <c r="I6">
        <v>58872</v>
      </c>
      <c r="J6">
        <v>35844</v>
      </c>
      <c r="K6">
        <v>31959</v>
      </c>
      <c r="L6">
        <v>4479</v>
      </c>
      <c r="M6">
        <v>1284</v>
      </c>
      <c r="N6">
        <v>870</v>
      </c>
      <c r="O6">
        <v>576</v>
      </c>
    </row>
    <row r="7" spans="1:15">
      <c r="A7" s="23">
        <v>2015</v>
      </c>
      <c r="B7" s="24" t="s">
        <v>616</v>
      </c>
      <c r="C7" s="24" t="s">
        <v>617</v>
      </c>
      <c r="D7" s="24" t="s">
        <v>552</v>
      </c>
      <c r="E7" s="25">
        <v>1290</v>
      </c>
      <c r="G7">
        <v>2016</v>
      </c>
      <c r="H7">
        <v>208116</v>
      </c>
      <c r="I7">
        <v>61701</v>
      </c>
      <c r="J7">
        <v>37503</v>
      </c>
      <c r="K7">
        <v>33438</v>
      </c>
      <c r="L7">
        <v>4761</v>
      </c>
      <c r="M7">
        <v>1431</v>
      </c>
      <c r="N7">
        <v>963</v>
      </c>
      <c r="O7">
        <v>657</v>
      </c>
    </row>
    <row r="8" spans="1:15">
      <c r="A8" s="20">
        <v>2015</v>
      </c>
      <c r="B8" s="21" t="s">
        <v>618</v>
      </c>
      <c r="C8" s="21" t="s">
        <v>617</v>
      </c>
      <c r="D8" s="21" t="s">
        <v>551</v>
      </c>
      <c r="E8" s="22">
        <v>405</v>
      </c>
      <c r="G8">
        <v>2017</v>
      </c>
      <c r="H8">
        <v>213177</v>
      </c>
      <c r="I8">
        <v>64269</v>
      </c>
      <c r="J8">
        <v>38154</v>
      </c>
      <c r="K8">
        <v>36123</v>
      </c>
      <c r="L8">
        <v>4935</v>
      </c>
      <c r="M8">
        <v>1533</v>
      </c>
      <c r="N8">
        <v>1017</v>
      </c>
      <c r="O8">
        <v>693</v>
      </c>
    </row>
    <row r="9" spans="1:15">
      <c r="A9" s="23">
        <v>2015</v>
      </c>
      <c r="B9" s="24" t="s">
        <v>618</v>
      </c>
      <c r="C9" s="24" t="s">
        <v>617</v>
      </c>
      <c r="D9" s="24" t="s">
        <v>552</v>
      </c>
      <c r="E9" s="25">
        <v>9</v>
      </c>
      <c r="G9">
        <v>2018</v>
      </c>
      <c r="H9">
        <v>219420</v>
      </c>
      <c r="I9">
        <v>68817</v>
      </c>
      <c r="J9">
        <v>40644</v>
      </c>
      <c r="K9">
        <v>38616</v>
      </c>
      <c r="L9">
        <v>5115</v>
      </c>
      <c r="M9">
        <v>1647</v>
      </c>
      <c r="N9">
        <v>1074</v>
      </c>
      <c r="O9">
        <v>768</v>
      </c>
    </row>
    <row r="10" spans="1:15">
      <c r="A10" s="20">
        <v>2016</v>
      </c>
      <c r="B10" s="21" t="s">
        <v>616</v>
      </c>
      <c r="C10" s="21" t="s">
        <v>617</v>
      </c>
      <c r="D10" s="21" t="s">
        <v>551</v>
      </c>
      <c r="E10" s="22">
        <v>22431</v>
      </c>
      <c r="G10">
        <v>2019</v>
      </c>
      <c r="H10">
        <v>215553</v>
      </c>
      <c r="I10">
        <v>70491</v>
      </c>
      <c r="J10">
        <v>40230</v>
      </c>
      <c r="K10">
        <v>39861</v>
      </c>
      <c r="L10">
        <v>5196</v>
      </c>
      <c r="M10">
        <v>1650</v>
      </c>
      <c r="N10">
        <v>1047</v>
      </c>
      <c r="O10">
        <v>813</v>
      </c>
    </row>
    <row r="11" spans="1:15">
      <c r="A11" s="23">
        <v>2016</v>
      </c>
      <c r="B11" s="24" t="s">
        <v>616</v>
      </c>
      <c r="C11" s="24" t="s">
        <v>617</v>
      </c>
      <c r="D11" s="24" t="s">
        <v>552</v>
      </c>
      <c r="E11" s="25">
        <v>1299</v>
      </c>
      <c r="G11">
        <v>2020</v>
      </c>
      <c r="H11">
        <v>197625</v>
      </c>
      <c r="I11">
        <v>65136</v>
      </c>
      <c r="J11">
        <v>34881</v>
      </c>
      <c r="K11">
        <v>39924</v>
      </c>
      <c r="L11">
        <v>4785</v>
      </c>
      <c r="M11">
        <v>1560</v>
      </c>
      <c r="N11">
        <v>978</v>
      </c>
      <c r="O11">
        <v>801</v>
      </c>
    </row>
    <row r="12" spans="1:15">
      <c r="A12" s="20">
        <v>2016</v>
      </c>
      <c r="B12" s="21" t="s">
        <v>618</v>
      </c>
      <c r="C12" s="21" t="s">
        <v>617</v>
      </c>
      <c r="D12" s="21" t="s">
        <v>551</v>
      </c>
      <c r="E12" s="22">
        <v>447</v>
      </c>
      <c r="G12">
        <v>2021</v>
      </c>
      <c r="H12">
        <v>203778</v>
      </c>
      <c r="I12">
        <v>69741</v>
      </c>
      <c r="J12">
        <v>35751</v>
      </c>
      <c r="K12">
        <v>45168</v>
      </c>
      <c r="L12">
        <v>4881</v>
      </c>
      <c r="M12">
        <v>1632</v>
      </c>
      <c r="N12">
        <v>912</v>
      </c>
      <c r="O12">
        <v>975</v>
      </c>
    </row>
    <row r="13" spans="1:15">
      <c r="A13" s="23">
        <v>2016</v>
      </c>
      <c r="B13" s="24" t="s">
        <v>618</v>
      </c>
      <c r="C13" s="24" t="s">
        <v>617</v>
      </c>
      <c r="D13" s="24" t="s">
        <v>552</v>
      </c>
      <c r="E13" s="25">
        <v>21</v>
      </c>
      <c r="G13">
        <v>2022</v>
      </c>
      <c r="H13">
        <v>202116</v>
      </c>
      <c r="I13">
        <v>70224</v>
      </c>
      <c r="J13">
        <v>32712</v>
      </c>
      <c r="K13">
        <v>48018</v>
      </c>
      <c r="L13">
        <v>4821</v>
      </c>
      <c r="M13">
        <v>1623</v>
      </c>
      <c r="N13">
        <v>792</v>
      </c>
      <c r="O13">
        <v>1062</v>
      </c>
    </row>
    <row r="14" spans="1:15">
      <c r="A14" s="20">
        <v>2017</v>
      </c>
      <c r="B14" s="21" t="s">
        <v>616</v>
      </c>
      <c r="C14" s="21" t="s">
        <v>617</v>
      </c>
      <c r="D14" s="21" t="s">
        <v>551</v>
      </c>
      <c r="E14" s="22">
        <v>24294</v>
      </c>
      <c r="G14">
        <v>2023</v>
      </c>
      <c r="H14">
        <v>207093</v>
      </c>
      <c r="I14">
        <v>71175</v>
      </c>
      <c r="J14">
        <v>31377</v>
      </c>
      <c r="K14">
        <v>50781</v>
      </c>
      <c r="L14">
        <v>4965</v>
      </c>
      <c r="M14">
        <v>1662</v>
      </c>
      <c r="N14">
        <v>804</v>
      </c>
      <c r="O14">
        <v>1110</v>
      </c>
    </row>
    <row r="15" spans="1:15">
      <c r="A15" s="23">
        <v>2017</v>
      </c>
      <c r="B15" s="24" t="s">
        <v>616</v>
      </c>
      <c r="C15" s="24" t="s">
        <v>617</v>
      </c>
      <c r="D15" s="24" t="s">
        <v>552</v>
      </c>
      <c r="E15" s="25">
        <v>1305</v>
      </c>
      <c r="G15">
        <v>2024</v>
      </c>
      <c r="H15">
        <v>193611</v>
      </c>
      <c r="I15">
        <v>65694</v>
      </c>
      <c r="J15">
        <v>27513</v>
      </c>
      <c r="K15">
        <v>49560</v>
      </c>
      <c r="L15">
        <v>4929</v>
      </c>
      <c r="M15">
        <v>1716</v>
      </c>
      <c r="N15">
        <v>768</v>
      </c>
      <c r="O15">
        <v>1224</v>
      </c>
    </row>
    <row r="16" spans="1:15">
      <c r="A16" s="20">
        <v>2017</v>
      </c>
      <c r="B16" s="21" t="s">
        <v>618</v>
      </c>
      <c r="C16" s="21" t="s">
        <v>617</v>
      </c>
      <c r="D16" s="21" t="s">
        <v>551</v>
      </c>
      <c r="E16" s="22">
        <v>498</v>
      </c>
    </row>
    <row r="17" spans="1:15">
      <c r="A17" s="23">
        <v>2017</v>
      </c>
      <c r="B17" s="24" t="s">
        <v>618</v>
      </c>
      <c r="C17" s="24" t="s">
        <v>617</v>
      </c>
      <c r="D17" s="24" t="s">
        <v>552</v>
      </c>
      <c r="E17" s="25">
        <v>18</v>
      </c>
      <c r="H17" t="s">
        <v>288</v>
      </c>
    </row>
    <row r="18" spans="1:15">
      <c r="A18" s="20">
        <v>2018</v>
      </c>
      <c r="B18" s="21" t="s">
        <v>616</v>
      </c>
      <c r="C18" s="21" t="s">
        <v>617</v>
      </c>
      <c r="D18" s="21" t="s">
        <v>551</v>
      </c>
      <c r="E18" s="22">
        <v>26097</v>
      </c>
      <c r="G18" s="32" t="s">
        <v>159</v>
      </c>
      <c r="H18" s="32" t="s">
        <v>537</v>
      </c>
      <c r="I18" s="32" t="s">
        <v>538</v>
      </c>
      <c r="J18" s="32" t="s">
        <v>539</v>
      </c>
      <c r="K18" s="32" t="s">
        <v>540</v>
      </c>
      <c r="L18" s="32" t="s">
        <v>541</v>
      </c>
      <c r="M18" s="32" t="s">
        <v>542</v>
      </c>
      <c r="N18" s="32" t="s">
        <v>543</v>
      </c>
      <c r="O18" s="32" t="s">
        <v>544</v>
      </c>
    </row>
    <row r="19" spans="1:15">
      <c r="A19" s="23">
        <v>2018</v>
      </c>
      <c r="B19" s="24" t="s">
        <v>616</v>
      </c>
      <c r="C19" s="24" t="s">
        <v>617</v>
      </c>
      <c r="D19" s="24" t="s">
        <v>552</v>
      </c>
      <c r="E19" s="25">
        <v>1503</v>
      </c>
      <c r="G19">
        <v>2015</v>
      </c>
      <c r="H19">
        <v>203658</v>
      </c>
      <c r="I19" s="4">
        <f>ROUND(I6/$H$6,3)</f>
        <v>0.28899999999999998</v>
      </c>
      <c r="J19" s="4">
        <f t="shared" ref="J19:K19" si="0">ROUND(J6/$H$6,3)</f>
        <v>0.17599999999999999</v>
      </c>
      <c r="K19" s="4">
        <f t="shared" si="0"/>
        <v>0.157</v>
      </c>
      <c r="L19">
        <v>4479</v>
      </c>
      <c r="M19" s="4">
        <f>ROUND(M6/$L$6,3)</f>
        <v>0.28699999999999998</v>
      </c>
      <c r="N19" s="4">
        <f t="shared" ref="N19:O19" si="1">ROUND(N6/$L$6,3)</f>
        <v>0.19400000000000001</v>
      </c>
      <c r="O19" s="4">
        <f t="shared" si="1"/>
        <v>0.129</v>
      </c>
    </row>
    <row r="20" spans="1:15">
      <c r="A20" s="20">
        <v>2018</v>
      </c>
      <c r="B20" s="21" t="s">
        <v>618</v>
      </c>
      <c r="C20" s="21" t="s">
        <v>617</v>
      </c>
      <c r="D20" s="21" t="s">
        <v>551</v>
      </c>
      <c r="E20" s="22">
        <v>552</v>
      </c>
      <c r="G20">
        <v>2016</v>
      </c>
      <c r="H20">
        <v>208116</v>
      </c>
      <c r="I20" s="4">
        <f t="shared" ref="I20:K28" si="2">ROUND(I7/$H$6,3)</f>
        <v>0.30299999999999999</v>
      </c>
      <c r="J20" s="4">
        <f t="shared" si="2"/>
        <v>0.184</v>
      </c>
      <c r="K20" s="4">
        <f t="shared" si="2"/>
        <v>0.16400000000000001</v>
      </c>
      <c r="L20">
        <v>4761</v>
      </c>
      <c r="M20" s="4">
        <f t="shared" ref="M20:O27" si="3">ROUND(M7/$L$6,3)</f>
        <v>0.31900000000000001</v>
      </c>
      <c r="N20" s="4">
        <f t="shared" si="3"/>
        <v>0.215</v>
      </c>
      <c r="O20" s="4">
        <f t="shared" si="3"/>
        <v>0.14699999999999999</v>
      </c>
    </row>
    <row r="21" spans="1:15">
      <c r="A21" s="23">
        <v>2018</v>
      </c>
      <c r="B21" s="24" t="s">
        <v>618</v>
      </c>
      <c r="C21" s="24" t="s">
        <v>617</v>
      </c>
      <c r="D21" s="24" t="s">
        <v>552</v>
      </c>
      <c r="E21" s="25">
        <v>21</v>
      </c>
      <c r="G21">
        <v>2017</v>
      </c>
      <c r="H21">
        <v>213177</v>
      </c>
      <c r="I21" s="4">
        <f t="shared" si="2"/>
        <v>0.316</v>
      </c>
      <c r="J21" s="4">
        <f t="shared" si="2"/>
        <v>0.187</v>
      </c>
      <c r="K21" s="4">
        <f t="shared" si="2"/>
        <v>0.17699999999999999</v>
      </c>
      <c r="L21">
        <v>4935</v>
      </c>
      <c r="M21" s="4">
        <f t="shared" si="3"/>
        <v>0.34200000000000003</v>
      </c>
      <c r="N21" s="4">
        <f t="shared" si="3"/>
        <v>0.22700000000000001</v>
      </c>
      <c r="O21" s="4">
        <f t="shared" si="3"/>
        <v>0.155</v>
      </c>
    </row>
    <row r="22" spans="1:15">
      <c r="A22" s="20">
        <v>2019</v>
      </c>
      <c r="B22" s="21" t="s">
        <v>616</v>
      </c>
      <c r="C22" s="21" t="s">
        <v>617</v>
      </c>
      <c r="D22" s="21" t="s">
        <v>551</v>
      </c>
      <c r="E22" s="22">
        <v>28017</v>
      </c>
      <c r="G22">
        <v>2018</v>
      </c>
      <c r="H22">
        <v>219420</v>
      </c>
      <c r="I22" s="4">
        <f t="shared" si="2"/>
        <v>0.33800000000000002</v>
      </c>
      <c r="J22" s="4">
        <f t="shared" si="2"/>
        <v>0.2</v>
      </c>
      <c r="K22" s="4">
        <f t="shared" si="2"/>
        <v>0.19</v>
      </c>
      <c r="L22">
        <v>5115</v>
      </c>
      <c r="M22" s="4">
        <f t="shared" si="3"/>
        <v>0.36799999999999999</v>
      </c>
      <c r="N22" s="4">
        <f t="shared" si="3"/>
        <v>0.24</v>
      </c>
      <c r="O22" s="4">
        <f t="shared" si="3"/>
        <v>0.17100000000000001</v>
      </c>
    </row>
    <row r="23" spans="1:15">
      <c r="A23" s="23">
        <v>2019</v>
      </c>
      <c r="B23" s="24" t="s">
        <v>616</v>
      </c>
      <c r="C23" s="24" t="s">
        <v>617</v>
      </c>
      <c r="D23" s="24" t="s">
        <v>552</v>
      </c>
      <c r="E23" s="25">
        <v>1641</v>
      </c>
      <c r="G23">
        <v>2019</v>
      </c>
      <c r="H23">
        <v>215553</v>
      </c>
      <c r="I23" s="4">
        <f t="shared" si="2"/>
        <v>0.34599999999999997</v>
      </c>
      <c r="J23" s="4">
        <f t="shared" si="2"/>
        <v>0.19800000000000001</v>
      </c>
      <c r="K23" s="4">
        <f t="shared" si="2"/>
        <v>0.19600000000000001</v>
      </c>
      <c r="L23">
        <v>5196</v>
      </c>
      <c r="M23" s="4">
        <f t="shared" si="3"/>
        <v>0.36799999999999999</v>
      </c>
      <c r="N23" s="4">
        <f t="shared" si="3"/>
        <v>0.23400000000000001</v>
      </c>
      <c r="O23" s="4">
        <f t="shared" si="3"/>
        <v>0.182</v>
      </c>
    </row>
    <row r="24" spans="1:15">
      <c r="A24" s="20">
        <v>2019</v>
      </c>
      <c r="B24" s="21" t="s">
        <v>618</v>
      </c>
      <c r="C24" s="21" t="s">
        <v>617</v>
      </c>
      <c r="D24" s="21" t="s">
        <v>551</v>
      </c>
      <c r="E24" s="22">
        <v>585</v>
      </c>
      <c r="G24">
        <v>2020</v>
      </c>
      <c r="H24">
        <v>197625</v>
      </c>
      <c r="I24" s="4">
        <f t="shared" si="2"/>
        <v>0.32</v>
      </c>
      <c r="J24" s="4">
        <f t="shared" si="2"/>
        <v>0.17100000000000001</v>
      </c>
      <c r="K24" s="4">
        <f t="shared" si="2"/>
        <v>0.19600000000000001</v>
      </c>
      <c r="L24">
        <v>4785</v>
      </c>
      <c r="M24" s="4">
        <f t="shared" si="3"/>
        <v>0.34799999999999998</v>
      </c>
      <c r="N24" s="4">
        <f t="shared" si="3"/>
        <v>0.218</v>
      </c>
      <c r="O24" s="4">
        <f t="shared" si="3"/>
        <v>0.17899999999999999</v>
      </c>
    </row>
    <row r="25" spans="1:15">
      <c r="A25" s="23">
        <v>2019</v>
      </c>
      <c r="B25" s="24" t="s">
        <v>618</v>
      </c>
      <c r="C25" s="24" t="s">
        <v>617</v>
      </c>
      <c r="D25" s="24" t="s">
        <v>552</v>
      </c>
      <c r="E25" s="25">
        <v>18</v>
      </c>
      <c r="G25">
        <v>2021</v>
      </c>
      <c r="H25">
        <v>203778</v>
      </c>
      <c r="I25" s="4">
        <f t="shared" si="2"/>
        <v>0.34200000000000003</v>
      </c>
      <c r="J25" s="4">
        <f t="shared" si="2"/>
        <v>0.17599999999999999</v>
      </c>
      <c r="K25" s="4">
        <f t="shared" si="2"/>
        <v>0.222</v>
      </c>
      <c r="L25">
        <v>4881</v>
      </c>
      <c r="M25" s="4">
        <f t="shared" si="3"/>
        <v>0.36399999999999999</v>
      </c>
      <c r="N25" s="4">
        <f t="shared" si="3"/>
        <v>0.20399999999999999</v>
      </c>
      <c r="O25" s="4">
        <f t="shared" si="3"/>
        <v>0.218</v>
      </c>
    </row>
    <row r="26" spans="1:15">
      <c r="A26" s="20">
        <v>2020</v>
      </c>
      <c r="B26" s="21" t="s">
        <v>616</v>
      </c>
      <c r="C26" s="21" t="s">
        <v>617</v>
      </c>
      <c r="D26" s="21" t="s">
        <v>551</v>
      </c>
      <c r="E26" s="22">
        <v>27912</v>
      </c>
      <c r="G26">
        <v>2022</v>
      </c>
      <c r="H26">
        <v>202116</v>
      </c>
      <c r="I26" s="4">
        <f t="shared" si="2"/>
        <v>0.34499999999999997</v>
      </c>
      <c r="J26" s="4">
        <f t="shared" si="2"/>
        <v>0.161</v>
      </c>
      <c r="K26" s="4">
        <f t="shared" si="2"/>
        <v>0.23599999999999999</v>
      </c>
      <c r="L26">
        <v>4821</v>
      </c>
      <c r="M26" s="4">
        <f t="shared" si="3"/>
        <v>0.36199999999999999</v>
      </c>
      <c r="N26" s="4">
        <f t="shared" si="3"/>
        <v>0.17699999999999999</v>
      </c>
      <c r="O26" s="4">
        <f t="shared" si="3"/>
        <v>0.23699999999999999</v>
      </c>
    </row>
    <row r="27" spans="1:15">
      <c r="A27" s="23">
        <v>2020</v>
      </c>
      <c r="B27" s="24" t="s">
        <v>616</v>
      </c>
      <c r="C27" s="24" t="s">
        <v>617</v>
      </c>
      <c r="D27" s="24" t="s">
        <v>552</v>
      </c>
      <c r="E27" s="25">
        <v>1761</v>
      </c>
      <c r="G27">
        <v>2023</v>
      </c>
      <c r="H27">
        <v>207093</v>
      </c>
      <c r="I27" s="4">
        <f t="shared" si="2"/>
        <v>0.34899999999999998</v>
      </c>
      <c r="J27" s="4">
        <f t="shared" si="2"/>
        <v>0.154</v>
      </c>
      <c r="K27" s="4">
        <f t="shared" si="2"/>
        <v>0.249</v>
      </c>
      <c r="L27">
        <v>4965</v>
      </c>
      <c r="M27" s="4">
        <f t="shared" si="3"/>
        <v>0.371</v>
      </c>
      <c r="N27" s="4">
        <f t="shared" si="3"/>
        <v>0.18</v>
      </c>
      <c r="O27" s="4">
        <f t="shared" si="3"/>
        <v>0.248</v>
      </c>
    </row>
    <row r="28" spans="1:15">
      <c r="A28" s="20">
        <v>2020</v>
      </c>
      <c r="B28" s="21" t="s">
        <v>618</v>
      </c>
      <c r="C28" s="21" t="s">
        <v>617</v>
      </c>
      <c r="D28" s="21" t="s">
        <v>551</v>
      </c>
      <c r="E28" s="22">
        <v>561</v>
      </c>
      <c r="G28">
        <v>2024</v>
      </c>
      <c r="H28">
        <v>193611</v>
      </c>
      <c r="I28" s="4">
        <f t="shared" si="2"/>
        <v>0.32300000000000001</v>
      </c>
      <c r="J28" s="4">
        <f t="shared" si="2"/>
        <v>0.13500000000000001</v>
      </c>
      <c r="K28" s="4">
        <f t="shared" si="2"/>
        <v>0.24299999999999999</v>
      </c>
      <c r="L28">
        <v>4929</v>
      </c>
      <c r="M28" s="4">
        <f>ROUND(M15/$L$6,3)</f>
        <v>0.38300000000000001</v>
      </c>
      <c r="N28" s="4">
        <f t="shared" ref="N28:O28" si="4">ROUND(N15/$L$6,3)</f>
        <v>0.17100000000000001</v>
      </c>
      <c r="O28" s="4">
        <f t="shared" si="4"/>
        <v>0.27300000000000002</v>
      </c>
    </row>
    <row r="29" spans="1:15">
      <c r="A29" s="23">
        <v>2020</v>
      </c>
      <c r="B29" s="24" t="s">
        <v>618</v>
      </c>
      <c r="C29" s="24" t="s">
        <v>617</v>
      </c>
      <c r="D29" s="24" t="s">
        <v>552</v>
      </c>
      <c r="E29" s="25">
        <v>21</v>
      </c>
    </row>
    <row r="30" spans="1:15">
      <c r="A30" s="20">
        <v>2021</v>
      </c>
      <c r="B30" s="21" t="s">
        <v>616</v>
      </c>
      <c r="C30" s="21" t="s">
        <v>617</v>
      </c>
      <c r="D30" s="21" t="s">
        <v>551</v>
      </c>
      <c r="E30" s="22">
        <v>31380</v>
      </c>
    </row>
    <row r="31" spans="1:15">
      <c r="A31" s="23">
        <v>2021</v>
      </c>
      <c r="B31" s="24" t="s">
        <v>616</v>
      </c>
      <c r="C31" s="24" t="s">
        <v>617</v>
      </c>
      <c r="D31" s="24" t="s">
        <v>552</v>
      </c>
      <c r="E31" s="25">
        <v>1890</v>
      </c>
    </row>
    <row r="32" spans="1:15">
      <c r="A32" s="20">
        <v>2021</v>
      </c>
      <c r="B32" s="21" t="s">
        <v>618</v>
      </c>
      <c r="C32" s="21" t="s">
        <v>617</v>
      </c>
      <c r="D32" s="21" t="s">
        <v>551</v>
      </c>
      <c r="E32" s="22">
        <v>690</v>
      </c>
    </row>
    <row r="33" spans="1:5">
      <c r="A33" s="23">
        <v>2021</v>
      </c>
      <c r="B33" s="24" t="s">
        <v>618</v>
      </c>
      <c r="C33" s="24" t="s">
        <v>617</v>
      </c>
      <c r="D33" s="24" t="s">
        <v>552</v>
      </c>
      <c r="E33" s="25">
        <v>30</v>
      </c>
    </row>
    <row r="34" spans="1:5">
      <c r="A34" s="20">
        <v>2022</v>
      </c>
      <c r="B34" s="21" t="s">
        <v>616</v>
      </c>
      <c r="C34" s="21" t="s">
        <v>617</v>
      </c>
      <c r="D34" s="21" t="s">
        <v>551</v>
      </c>
      <c r="E34" s="22">
        <v>34416</v>
      </c>
    </row>
    <row r="35" spans="1:5">
      <c r="A35" s="23">
        <v>2022</v>
      </c>
      <c r="B35" s="24" t="s">
        <v>616</v>
      </c>
      <c r="C35" s="24" t="s">
        <v>617</v>
      </c>
      <c r="D35" s="24" t="s">
        <v>552</v>
      </c>
      <c r="E35" s="25">
        <v>2265</v>
      </c>
    </row>
    <row r="36" spans="1:5">
      <c r="A36" s="20">
        <v>2022</v>
      </c>
      <c r="B36" s="21" t="s">
        <v>618</v>
      </c>
      <c r="C36" s="21" t="s">
        <v>617</v>
      </c>
      <c r="D36" s="21" t="s">
        <v>551</v>
      </c>
      <c r="E36" s="22">
        <v>792</v>
      </c>
    </row>
    <row r="37" spans="1:5">
      <c r="A37" s="23">
        <v>2022</v>
      </c>
      <c r="B37" s="24" t="s">
        <v>618</v>
      </c>
      <c r="C37" s="24" t="s">
        <v>617</v>
      </c>
      <c r="D37" s="24" t="s">
        <v>552</v>
      </c>
      <c r="E37" s="25">
        <v>39</v>
      </c>
    </row>
    <row r="38" spans="1:5">
      <c r="A38" s="20">
        <v>2023</v>
      </c>
      <c r="B38" s="21" t="s">
        <v>616</v>
      </c>
      <c r="C38" s="21" t="s">
        <v>617</v>
      </c>
      <c r="D38" s="21" t="s">
        <v>551</v>
      </c>
      <c r="E38" s="22">
        <v>36399</v>
      </c>
    </row>
    <row r="39" spans="1:5">
      <c r="A39" s="23">
        <v>2023</v>
      </c>
      <c r="B39" s="24" t="s">
        <v>616</v>
      </c>
      <c r="C39" s="24" t="s">
        <v>617</v>
      </c>
      <c r="D39" s="24" t="s">
        <v>552</v>
      </c>
      <c r="E39" s="25">
        <v>2541</v>
      </c>
    </row>
    <row r="40" spans="1:5">
      <c r="A40" s="20">
        <v>2023</v>
      </c>
      <c r="B40" s="21" t="s">
        <v>618</v>
      </c>
      <c r="C40" s="21" t="s">
        <v>617</v>
      </c>
      <c r="D40" s="21" t="s">
        <v>551</v>
      </c>
      <c r="E40" s="22">
        <v>816</v>
      </c>
    </row>
    <row r="41" spans="1:5">
      <c r="A41" s="23">
        <v>2023</v>
      </c>
      <c r="B41" s="24" t="s">
        <v>618</v>
      </c>
      <c r="C41" s="24" t="s">
        <v>617</v>
      </c>
      <c r="D41" s="24" t="s">
        <v>552</v>
      </c>
      <c r="E41" s="25">
        <v>42</v>
      </c>
    </row>
    <row r="42" spans="1:5">
      <c r="A42" s="20">
        <v>2024</v>
      </c>
      <c r="B42" s="21" t="s">
        <v>616</v>
      </c>
      <c r="C42" s="21" t="s">
        <v>617</v>
      </c>
      <c r="D42" s="21" t="s">
        <v>551</v>
      </c>
      <c r="E42" s="22">
        <v>35115</v>
      </c>
    </row>
    <row r="43" spans="1:5">
      <c r="A43" s="23">
        <v>2024</v>
      </c>
      <c r="B43" s="24" t="s">
        <v>616</v>
      </c>
      <c r="C43" s="24" t="s">
        <v>617</v>
      </c>
      <c r="D43" s="24" t="s">
        <v>552</v>
      </c>
      <c r="E43" s="25">
        <v>2118</v>
      </c>
    </row>
    <row r="44" spans="1:5">
      <c r="A44" s="20">
        <v>2024</v>
      </c>
      <c r="B44" s="21" t="s">
        <v>618</v>
      </c>
      <c r="C44" s="21" t="s">
        <v>617</v>
      </c>
      <c r="D44" s="21" t="s">
        <v>551</v>
      </c>
      <c r="E44" s="22">
        <v>912</v>
      </c>
    </row>
    <row r="45" spans="1:5">
      <c r="A45" s="26">
        <v>2024</v>
      </c>
      <c r="B45" s="27" t="s">
        <v>618</v>
      </c>
      <c r="C45" s="27" t="s">
        <v>617</v>
      </c>
      <c r="D45" s="27" t="s">
        <v>552</v>
      </c>
      <c r="E45" s="28">
        <v>36</v>
      </c>
    </row>
  </sheetData>
  <phoneticPr fontId="6" type="noConversion"/>
  <pageMargins left="0.7" right="0.7" top="0.75" bottom="0.75" header="0.3" footer="0.3"/>
  <tableParts count="2">
    <tablePart r:id="rId1"/>
    <tablePart r:id="rId2"/>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86942-E8B2-42B6-AD1E-119EFB5C67EB}">
  <dimension ref="A1:T42"/>
  <sheetViews>
    <sheetView workbookViewId="0">
      <selection activeCell="I31" sqref="I31"/>
    </sheetView>
  </sheetViews>
  <sheetFormatPr defaultRowHeight="14.65"/>
  <sheetData>
    <row r="1" spans="1:20">
      <c r="A1" t="s">
        <v>619</v>
      </c>
    </row>
    <row r="2" spans="1:20">
      <c r="A2" s="19" t="s">
        <v>620</v>
      </c>
    </row>
    <row r="3" spans="1:20">
      <c r="B3" s="138" t="s">
        <v>610</v>
      </c>
      <c r="C3" s="138"/>
      <c r="D3" s="138"/>
      <c r="E3" s="138"/>
      <c r="F3" s="138"/>
      <c r="G3" s="138"/>
      <c r="H3" s="138"/>
      <c r="I3" s="138"/>
      <c r="J3" s="138"/>
      <c r="K3" s="138"/>
      <c r="L3" s="138" t="s">
        <v>288</v>
      </c>
      <c r="M3" s="138"/>
      <c r="N3" s="138"/>
      <c r="O3" s="138"/>
      <c r="P3" s="138"/>
      <c r="Q3" s="138"/>
      <c r="R3" s="138"/>
      <c r="S3" s="138"/>
      <c r="T3" s="138"/>
    </row>
    <row r="4" spans="1:20">
      <c r="A4" t="s">
        <v>159</v>
      </c>
      <c r="B4" t="s">
        <v>621</v>
      </c>
      <c r="C4" t="s">
        <v>622</v>
      </c>
      <c r="D4" t="s">
        <v>623</v>
      </c>
      <c r="E4" t="s">
        <v>624</v>
      </c>
      <c r="F4" t="s">
        <v>625</v>
      </c>
      <c r="H4" t="s">
        <v>626</v>
      </c>
      <c r="I4" t="s">
        <v>627</v>
      </c>
      <c r="J4" t="s">
        <v>628</v>
      </c>
      <c r="K4" t="s">
        <v>629</v>
      </c>
      <c r="L4" t="s">
        <v>621</v>
      </c>
      <c r="M4" t="s">
        <v>622</v>
      </c>
      <c r="N4" t="s">
        <v>623</v>
      </c>
      <c r="O4" t="s">
        <v>624</v>
      </c>
      <c r="P4" t="s">
        <v>625</v>
      </c>
      <c r="Q4" t="s">
        <v>626</v>
      </c>
      <c r="R4" t="s">
        <v>627</v>
      </c>
      <c r="S4" t="s">
        <v>628</v>
      </c>
      <c r="T4" t="s">
        <v>629</v>
      </c>
    </row>
    <row r="5" spans="1:20">
      <c r="A5">
        <v>2015</v>
      </c>
      <c r="B5" s="37">
        <v>40</v>
      </c>
      <c r="C5" s="37">
        <v>175</v>
      </c>
      <c r="D5" s="37">
        <v>5</v>
      </c>
      <c r="E5" s="37">
        <v>1985</v>
      </c>
      <c r="F5" s="37">
        <v>4665</v>
      </c>
      <c r="G5" s="37"/>
      <c r="H5" s="37">
        <v>610</v>
      </c>
      <c r="I5" s="37">
        <v>0</v>
      </c>
      <c r="J5" s="37">
        <v>0</v>
      </c>
      <c r="K5" s="37">
        <v>0</v>
      </c>
      <c r="L5" s="4">
        <f>B5/SUM($B5:$K5)</f>
        <v>5.3475935828877002E-3</v>
      </c>
      <c r="M5" s="4">
        <f>C5/SUM($B5:$K5)</f>
        <v>2.339572192513369E-2</v>
      </c>
      <c r="N5" s="4">
        <f>D5/SUM($B5:$K5)</f>
        <v>6.6844919786096253E-4</v>
      </c>
      <c r="O5" s="4">
        <f>E5/SUM($B5:$K5)</f>
        <v>0.26537433155080214</v>
      </c>
      <c r="P5" s="4">
        <f>F5/SUM($B5:$K5)</f>
        <v>0.62366310160427807</v>
      </c>
      <c r="Q5" s="4">
        <f>H5/SUM($B5:$K5)</f>
        <v>8.155080213903744E-2</v>
      </c>
      <c r="R5" s="4">
        <f>I5/SUM($B5:$K5)</f>
        <v>0</v>
      </c>
      <c r="S5" s="4">
        <f>J5/SUM($B5:$K5)</f>
        <v>0</v>
      </c>
      <c r="T5" s="4">
        <f>K5/SUM($B5:$K5)</f>
        <v>0</v>
      </c>
    </row>
    <row r="6" spans="1:20">
      <c r="A6">
        <v>2016</v>
      </c>
      <c r="B6" s="37">
        <v>20</v>
      </c>
      <c r="C6" s="37">
        <v>170</v>
      </c>
      <c r="D6" s="37">
        <v>0</v>
      </c>
      <c r="E6" s="37">
        <v>1935</v>
      </c>
      <c r="F6" s="37">
        <v>4030</v>
      </c>
      <c r="G6" s="37"/>
      <c r="H6" s="37">
        <v>630</v>
      </c>
      <c r="I6" s="37">
        <v>5</v>
      </c>
      <c r="J6" s="37">
        <v>10</v>
      </c>
      <c r="K6" s="37">
        <v>0</v>
      </c>
      <c r="L6" s="4">
        <f t="shared" ref="L6:L14" si="0">B6/SUM($B6:$K6)</f>
        <v>2.9411764705882353E-3</v>
      </c>
      <c r="M6" s="4">
        <f t="shared" ref="M6:M14" si="1">C6/SUM($B6:$K6)</f>
        <v>2.5000000000000001E-2</v>
      </c>
      <c r="N6" s="4">
        <f t="shared" ref="N6:N14" si="2">D6/SUM($B6:$K6)</f>
        <v>0</v>
      </c>
      <c r="O6" s="4">
        <f t="shared" ref="O6:O14" si="3">E6/SUM($B6:$K6)</f>
        <v>0.28455882352941175</v>
      </c>
      <c r="P6" s="4">
        <f t="shared" ref="P6:P14" si="4">F6/SUM($B6:$K6)</f>
        <v>0.59264705882352942</v>
      </c>
      <c r="Q6" s="4">
        <f t="shared" ref="Q6:Q14" si="5">H6/SUM($B6:$K6)</f>
        <v>9.2647058823529416E-2</v>
      </c>
      <c r="R6" s="4">
        <f t="shared" ref="R6:R14" si="6">I6/SUM($B6:$K6)</f>
        <v>7.3529411764705881E-4</v>
      </c>
      <c r="S6" s="4">
        <f t="shared" ref="S6:S14" si="7">J6/SUM($B6:$K6)</f>
        <v>1.4705882352941176E-3</v>
      </c>
      <c r="T6" s="4">
        <f t="shared" ref="T6:T14" si="8">K6/SUM($B6:$K6)</f>
        <v>0</v>
      </c>
    </row>
    <row r="7" spans="1:20">
      <c r="A7">
        <v>2017</v>
      </c>
      <c r="B7" s="37">
        <v>0</v>
      </c>
      <c r="C7" s="37">
        <v>5</v>
      </c>
      <c r="D7" s="37">
        <v>15</v>
      </c>
      <c r="E7" s="37">
        <v>1655</v>
      </c>
      <c r="F7" s="37">
        <v>3715</v>
      </c>
      <c r="G7" s="37"/>
      <c r="H7" s="37">
        <v>705</v>
      </c>
      <c r="I7" s="37">
        <v>0</v>
      </c>
      <c r="J7" s="37">
        <v>15</v>
      </c>
      <c r="K7" s="37">
        <v>0</v>
      </c>
      <c r="L7" s="4">
        <f t="shared" si="0"/>
        <v>0</v>
      </c>
      <c r="M7" s="4">
        <f t="shared" si="1"/>
        <v>8.1833060556464816E-4</v>
      </c>
      <c r="N7" s="4">
        <f t="shared" si="2"/>
        <v>2.4549918166939444E-3</v>
      </c>
      <c r="O7" s="4">
        <f t="shared" si="3"/>
        <v>0.27086743044189854</v>
      </c>
      <c r="P7" s="4">
        <f t="shared" si="4"/>
        <v>0.60801963993453356</v>
      </c>
      <c r="Q7" s="4">
        <f t="shared" si="5"/>
        <v>0.11538461538461539</v>
      </c>
      <c r="R7" s="4">
        <f t="shared" si="6"/>
        <v>0</v>
      </c>
      <c r="S7" s="4">
        <f t="shared" si="7"/>
        <v>2.4549918166939444E-3</v>
      </c>
      <c r="T7" s="4">
        <f t="shared" si="8"/>
        <v>0</v>
      </c>
    </row>
    <row r="8" spans="1:20">
      <c r="A8">
        <v>2018</v>
      </c>
      <c r="B8" s="37">
        <v>0</v>
      </c>
      <c r="C8" s="37">
        <v>0</v>
      </c>
      <c r="D8" s="37">
        <v>465</v>
      </c>
      <c r="E8" s="37">
        <v>1350</v>
      </c>
      <c r="F8" s="37">
        <v>3940</v>
      </c>
      <c r="G8" s="37"/>
      <c r="H8" s="37">
        <v>785</v>
      </c>
      <c r="I8" s="37">
        <v>0</v>
      </c>
      <c r="J8" s="37">
        <v>5</v>
      </c>
      <c r="K8" s="37">
        <v>0</v>
      </c>
      <c r="L8" s="4">
        <f t="shared" si="0"/>
        <v>0</v>
      </c>
      <c r="M8" s="4">
        <f t="shared" si="1"/>
        <v>0</v>
      </c>
      <c r="N8" s="4">
        <f t="shared" si="2"/>
        <v>7.1046600458365167E-2</v>
      </c>
      <c r="O8" s="4">
        <f t="shared" si="3"/>
        <v>0.20626432391138275</v>
      </c>
      <c r="P8" s="4">
        <f t="shared" si="4"/>
        <v>0.60198624904507259</v>
      </c>
      <c r="Q8" s="4">
        <f t="shared" si="5"/>
        <v>0.119938884644767</v>
      </c>
      <c r="R8" s="4">
        <f t="shared" si="6"/>
        <v>0</v>
      </c>
      <c r="S8" s="4">
        <f t="shared" si="7"/>
        <v>7.6394194041252863E-4</v>
      </c>
      <c r="T8" s="4">
        <f t="shared" si="8"/>
        <v>0</v>
      </c>
    </row>
    <row r="9" spans="1:20">
      <c r="A9">
        <v>2019</v>
      </c>
      <c r="B9" s="37">
        <v>15</v>
      </c>
      <c r="C9" s="37">
        <v>0</v>
      </c>
      <c r="D9" s="37">
        <v>1690</v>
      </c>
      <c r="E9" s="37">
        <v>760</v>
      </c>
      <c r="F9" s="37">
        <v>4085</v>
      </c>
      <c r="G9" s="37"/>
      <c r="H9" s="37">
        <v>1030</v>
      </c>
      <c r="I9" s="37">
        <v>0</v>
      </c>
      <c r="J9" s="37">
        <v>5</v>
      </c>
      <c r="K9" s="37">
        <v>0</v>
      </c>
      <c r="L9" s="4">
        <f t="shared" si="0"/>
        <v>1.977587343441002E-3</v>
      </c>
      <c r="M9" s="4">
        <f t="shared" si="1"/>
        <v>0</v>
      </c>
      <c r="N9" s="4">
        <f t="shared" si="2"/>
        <v>0.22280817402768621</v>
      </c>
      <c r="O9" s="4">
        <f t="shared" si="3"/>
        <v>0.1001977587343441</v>
      </c>
      <c r="P9" s="4">
        <f t="shared" si="4"/>
        <v>0.53856295319709957</v>
      </c>
      <c r="Q9" s="4">
        <f t="shared" si="5"/>
        <v>0.13579433091628212</v>
      </c>
      <c r="R9" s="4">
        <f t="shared" si="6"/>
        <v>0</v>
      </c>
      <c r="S9" s="4">
        <f t="shared" si="7"/>
        <v>6.5919578114700061E-4</v>
      </c>
      <c r="T9" s="4">
        <f t="shared" si="8"/>
        <v>0</v>
      </c>
    </row>
    <row r="10" spans="1:20">
      <c r="A10">
        <v>2020</v>
      </c>
      <c r="B10" s="37">
        <v>25</v>
      </c>
      <c r="C10" s="37">
        <v>25</v>
      </c>
      <c r="D10" s="37">
        <v>2150</v>
      </c>
      <c r="E10" s="37">
        <v>220</v>
      </c>
      <c r="F10" s="37">
        <v>4050</v>
      </c>
      <c r="G10" s="37"/>
      <c r="H10" s="37">
        <v>1415</v>
      </c>
      <c r="I10" s="37">
        <v>5</v>
      </c>
      <c r="J10" s="37">
        <v>30</v>
      </c>
      <c r="K10" s="37">
        <v>0</v>
      </c>
      <c r="L10" s="4">
        <f t="shared" si="0"/>
        <v>3.1565656565656565E-3</v>
      </c>
      <c r="M10" s="4">
        <f t="shared" si="1"/>
        <v>3.1565656565656565E-3</v>
      </c>
      <c r="N10" s="4">
        <f t="shared" si="2"/>
        <v>0.27146464646464646</v>
      </c>
      <c r="O10" s="4">
        <f t="shared" si="3"/>
        <v>2.7777777777777776E-2</v>
      </c>
      <c r="P10" s="4">
        <f t="shared" si="4"/>
        <v>0.51136363636363635</v>
      </c>
      <c r="Q10" s="4">
        <f t="shared" si="5"/>
        <v>0.17866161616161616</v>
      </c>
      <c r="R10" s="4">
        <f t="shared" si="6"/>
        <v>6.3131313131313137E-4</v>
      </c>
      <c r="S10" s="4">
        <f t="shared" si="7"/>
        <v>3.787878787878788E-3</v>
      </c>
      <c r="T10" s="4">
        <f t="shared" si="8"/>
        <v>0</v>
      </c>
    </row>
    <row r="11" spans="1:20">
      <c r="A11">
        <v>2021</v>
      </c>
      <c r="B11" s="37">
        <v>20</v>
      </c>
      <c r="C11" s="37">
        <v>35</v>
      </c>
      <c r="D11" s="37">
        <v>2080</v>
      </c>
      <c r="E11" s="37">
        <v>210</v>
      </c>
      <c r="F11" s="37">
        <v>4465</v>
      </c>
      <c r="G11" s="37"/>
      <c r="H11" s="37">
        <v>1635</v>
      </c>
      <c r="I11" s="37">
        <v>0</v>
      </c>
      <c r="J11" s="37">
        <v>80</v>
      </c>
      <c r="K11" s="37">
        <v>0</v>
      </c>
      <c r="L11" s="4">
        <f t="shared" si="0"/>
        <v>2.3460410557184751E-3</v>
      </c>
      <c r="M11" s="4">
        <f t="shared" si="1"/>
        <v>4.1055718475073314E-3</v>
      </c>
      <c r="N11" s="4">
        <f t="shared" si="2"/>
        <v>0.24398826979472141</v>
      </c>
      <c r="O11" s="4">
        <f t="shared" si="3"/>
        <v>2.463343108504399E-2</v>
      </c>
      <c r="P11" s="4">
        <f t="shared" si="4"/>
        <v>0.52375366568914961</v>
      </c>
      <c r="Q11" s="4">
        <f t="shared" si="5"/>
        <v>0.19178885630498535</v>
      </c>
      <c r="R11" s="4">
        <f t="shared" si="6"/>
        <v>0</v>
      </c>
      <c r="S11" s="4">
        <f t="shared" si="7"/>
        <v>9.3841642228739003E-3</v>
      </c>
      <c r="T11" s="4">
        <f t="shared" si="8"/>
        <v>0</v>
      </c>
    </row>
    <row r="12" spans="1:20">
      <c r="A12">
        <v>2022</v>
      </c>
      <c r="B12" s="37">
        <v>65</v>
      </c>
      <c r="C12" s="37">
        <v>40</v>
      </c>
      <c r="D12" s="37">
        <v>815</v>
      </c>
      <c r="E12" s="37">
        <v>145</v>
      </c>
      <c r="F12" s="37">
        <v>4025</v>
      </c>
      <c r="G12" s="37"/>
      <c r="H12" s="37">
        <v>1420</v>
      </c>
      <c r="I12" s="37">
        <v>5</v>
      </c>
      <c r="J12" s="37">
        <v>90</v>
      </c>
      <c r="K12" s="37">
        <v>0</v>
      </c>
      <c r="L12" s="4">
        <f t="shared" si="0"/>
        <v>9.8410295230885701E-3</v>
      </c>
      <c r="M12" s="4">
        <f t="shared" si="1"/>
        <v>6.0560181680545042E-3</v>
      </c>
      <c r="N12" s="4">
        <f t="shared" si="2"/>
        <v>0.12339137017411052</v>
      </c>
      <c r="O12" s="4">
        <f t="shared" si="3"/>
        <v>2.1953065859197578E-2</v>
      </c>
      <c r="P12" s="4">
        <f t="shared" si="4"/>
        <v>0.60938682816048451</v>
      </c>
      <c r="Q12" s="4">
        <f t="shared" si="5"/>
        <v>0.21498864496593489</v>
      </c>
      <c r="R12" s="4">
        <f t="shared" si="6"/>
        <v>7.5700227100681302E-4</v>
      </c>
      <c r="S12" s="4">
        <f t="shared" si="7"/>
        <v>1.3626040878122634E-2</v>
      </c>
      <c r="T12" s="4">
        <f t="shared" si="8"/>
        <v>0</v>
      </c>
    </row>
    <row r="13" spans="1:20">
      <c r="A13">
        <v>2023</v>
      </c>
      <c r="B13" s="37">
        <v>50</v>
      </c>
      <c r="C13" s="37">
        <v>35</v>
      </c>
      <c r="D13" s="37">
        <v>1225</v>
      </c>
      <c r="E13" s="37">
        <v>75</v>
      </c>
      <c r="F13" s="37">
        <v>3630</v>
      </c>
      <c r="G13" s="37"/>
      <c r="H13" s="37">
        <v>1500</v>
      </c>
      <c r="I13" s="37">
        <v>5</v>
      </c>
      <c r="J13" s="37">
        <v>125</v>
      </c>
      <c r="K13" s="37">
        <v>0</v>
      </c>
      <c r="L13" s="4">
        <f t="shared" si="0"/>
        <v>7.5244544770504138E-3</v>
      </c>
      <c r="M13" s="4">
        <f t="shared" si="1"/>
        <v>5.2671181339352894E-3</v>
      </c>
      <c r="N13" s="4">
        <f t="shared" si="2"/>
        <v>0.18434913468773514</v>
      </c>
      <c r="O13" s="4">
        <f t="shared" si="3"/>
        <v>1.1286681715575621E-2</v>
      </c>
      <c r="P13" s="4">
        <f t="shared" si="4"/>
        <v>0.54627539503386002</v>
      </c>
      <c r="Q13" s="4">
        <f t="shared" si="5"/>
        <v>0.22573363431151242</v>
      </c>
      <c r="R13" s="4">
        <f t="shared" si="6"/>
        <v>7.5244544770504136E-4</v>
      </c>
      <c r="S13" s="4">
        <f t="shared" si="7"/>
        <v>1.8811136192626036E-2</v>
      </c>
      <c r="T13" s="4">
        <f t="shared" si="8"/>
        <v>0</v>
      </c>
    </row>
    <row r="14" spans="1:20">
      <c r="A14">
        <v>2024</v>
      </c>
      <c r="B14" s="37">
        <v>80</v>
      </c>
      <c r="C14" s="37">
        <v>45</v>
      </c>
      <c r="D14" s="37">
        <v>1195</v>
      </c>
      <c r="E14" s="37">
        <v>60</v>
      </c>
      <c r="F14" s="37">
        <v>3480</v>
      </c>
      <c r="G14" s="37"/>
      <c r="H14" s="37">
        <v>1930</v>
      </c>
      <c r="I14" s="37">
        <v>15</v>
      </c>
      <c r="J14" s="37">
        <v>220</v>
      </c>
      <c r="K14" s="37">
        <v>0</v>
      </c>
      <c r="L14" s="4">
        <f t="shared" si="0"/>
        <v>1.1387900355871887E-2</v>
      </c>
      <c r="M14" s="4">
        <f t="shared" si="1"/>
        <v>6.405693950177936E-3</v>
      </c>
      <c r="N14" s="4">
        <f t="shared" si="2"/>
        <v>0.17010676156583629</v>
      </c>
      <c r="O14" s="4">
        <f t="shared" si="3"/>
        <v>8.5409252669039152E-3</v>
      </c>
      <c r="P14" s="4">
        <f t="shared" si="4"/>
        <v>0.49537366548042705</v>
      </c>
      <c r="Q14" s="4">
        <f t="shared" si="5"/>
        <v>0.27473309608540925</v>
      </c>
      <c r="R14" s="4">
        <f t="shared" si="6"/>
        <v>2.1352313167259788E-3</v>
      </c>
      <c r="S14" s="4">
        <f t="shared" si="7"/>
        <v>3.1316725978647687E-2</v>
      </c>
      <c r="T14" s="4">
        <f t="shared" si="8"/>
        <v>0</v>
      </c>
    </row>
    <row r="17" spans="1:9">
      <c r="A17" t="s">
        <v>630</v>
      </c>
    </row>
    <row r="18" spans="1:9">
      <c r="A18" s="19" t="s">
        <v>631</v>
      </c>
    </row>
    <row r="20" spans="1:9">
      <c r="A20" t="s">
        <v>632</v>
      </c>
    </row>
    <row r="22" spans="1:9">
      <c r="A22" t="s">
        <v>159</v>
      </c>
      <c r="B22" t="s">
        <v>633</v>
      </c>
      <c r="C22" t="s">
        <v>634</v>
      </c>
      <c r="D22" t="s">
        <v>635</v>
      </c>
      <c r="E22" t="s">
        <v>288</v>
      </c>
      <c r="F22" t="s">
        <v>636</v>
      </c>
      <c r="G22" t="s">
        <v>637</v>
      </c>
      <c r="H22" t="s">
        <v>638</v>
      </c>
      <c r="I22" t="s">
        <v>639</v>
      </c>
    </row>
    <row r="23" spans="1:9">
      <c r="A23">
        <v>2024</v>
      </c>
      <c r="B23" t="s">
        <v>640</v>
      </c>
      <c r="C23" t="s">
        <v>621</v>
      </c>
      <c r="D23">
        <v>75</v>
      </c>
      <c r="E23" s="4">
        <f>D23/SUM(D23:D24)</f>
        <v>0.83333333333333337</v>
      </c>
      <c r="F23" s="139">
        <v>80</v>
      </c>
      <c r="G23" s="38">
        <v>1</v>
      </c>
      <c r="H23">
        <f>F23*G23</f>
        <v>80</v>
      </c>
      <c r="I23" t="s">
        <v>641</v>
      </c>
    </row>
    <row r="24" spans="1:9">
      <c r="A24">
        <v>2024</v>
      </c>
      <c r="B24" t="s">
        <v>642</v>
      </c>
      <c r="C24" t="s">
        <v>621</v>
      </c>
      <c r="D24">
        <v>15</v>
      </c>
      <c r="E24" s="4">
        <f>D24/SUM(D23:D24)</f>
        <v>0.16666666666666666</v>
      </c>
      <c r="F24" s="139"/>
      <c r="G24" s="38">
        <v>0</v>
      </c>
      <c r="H24">
        <v>0</v>
      </c>
      <c r="I24" t="s">
        <v>641</v>
      </c>
    </row>
    <row r="25" spans="1:9">
      <c r="A25">
        <v>2024</v>
      </c>
      <c r="B25" t="s">
        <v>640</v>
      </c>
      <c r="C25" t="s">
        <v>622</v>
      </c>
      <c r="D25">
        <v>355</v>
      </c>
      <c r="E25" s="4">
        <f>D25/SUM(D25:D26)</f>
        <v>0.92207792207792205</v>
      </c>
      <c r="F25" s="139">
        <v>45</v>
      </c>
      <c r="G25" s="39">
        <v>0.96599999999999997</v>
      </c>
      <c r="H25">
        <f>MROUND(F25*G25,1)</f>
        <v>43</v>
      </c>
      <c r="I25" t="s">
        <v>641</v>
      </c>
    </row>
    <row r="26" spans="1:9">
      <c r="A26">
        <v>2024</v>
      </c>
      <c r="B26" t="s">
        <v>642</v>
      </c>
      <c r="C26" t="s">
        <v>622</v>
      </c>
      <c r="D26">
        <v>30</v>
      </c>
      <c r="E26" s="4">
        <f>D26/SUM(D25:D26)</f>
        <v>7.792207792207792E-2</v>
      </c>
      <c r="F26" s="139"/>
      <c r="G26" s="39">
        <v>3.4000000000000002E-2</v>
      </c>
      <c r="H26">
        <f>MROUND(F25*G26,1)</f>
        <v>2</v>
      </c>
      <c r="I26" t="s">
        <v>641</v>
      </c>
    </row>
    <row r="27" spans="1:9">
      <c r="A27">
        <v>2024</v>
      </c>
      <c r="B27" t="s">
        <v>640</v>
      </c>
      <c r="C27" t="s">
        <v>623</v>
      </c>
      <c r="D27">
        <v>2280</v>
      </c>
      <c r="E27" s="4">
        <f>D27/SUM(D27:D28)</f>
        <v>0.8571428571428571</v>
      </c>
      <c r="F27" s="139">
        <v>195</v>
      </c>
      <c r="G27" s="39">
        <v>0.96399999999999997</v>
      </c>
      <c r="H27">
        <f>MROUND(F27*G27,1)</f>
        <v>188</v>
      </c>
      <c r="I27" t="s">
        <v>641</v>
      </c>
    </row>
    <row r="28" spans="1:9">
      <c r="A28">
        <v>2024</v>
      </c>
      <c r="B28" t="s">
        <v>642</v>
      </c>
      <c r="C28" t="s">
        <v>623</v>
      </c>
      <c r="D28">
        <v>380</v>
      </c>
      <c r="E28" s="4">
        <f>D28/SUM(D27:D28)</f>
        <v>0.14285714285714285</v>
      </c>
      <c r="F28" s="139"/>
      <c r="G28" s="39">
        <v>3.5999999999999997E-2</v>
      </c>
      <c r="H28">
        <f>MROUND(F27*G28,1)</f>
        <v>7</v>
      </c>
      <c r="I28" t="s">
        <v>641</v>
      </c>
    </row>
    <row r="29" spans="1:9">
      <c r="A29">
        <v>2024</v>
      </c>
      <c r="B29" t="s">
        <v>640</v>
      </c>
      <c r="C29" t="s">
        <v>624</v>
      </c>
      <c r="D29">
        <v>1300</v>
      </c>
      <c r="E29" s="4">
        <f>D29/SUM(D29:D30)</f>
        <v>0.66666666666666663</v>
      </c>
      <c r="F29" s="139">
        <v>60</v>
      </c>
      <c r="G29" s="38">
        <v>0.98</v>
      </c>
      <c r="H29">
        <f>MROUND(F29*G29,1)</f>
        <v>59</v>
      </c>
      <c r="I29" t="s">
        <v>641</v>
      </c>
    </row>
    <row r="30" spans="1:9">
      <c r="A30">
        <v>2024</v>
      </c>
      <c r="B30" t="s">
        <v>642</v>
      </c>
      <c r="C30" t="s">
        <v>624</v>
      </c>
      <c r="D30">
        <v>650</v>
      </c>
      <c r="E30" s="4">
        <f>D30/SUM(D29:D30)</f>
        <v>0.33333333333333331</v>
      </c>
      <c r="F30" s="139"/>
      <c r="G30" s="38">
        <v>0.02</v>
      </c>
      <c r="H30">
        <f>MROUND(F29*G30,1)</f>
        <v>1</v>
      </c>
      <c r="I30" t="s">
        <v>641</v>
      </c>
    </row>
    <row r="31" spans="1:9">
      <c r="A31">
        <v>2024</v>
      </c>
      <c r="B31" t="s">
        <v>640</v>
      </c>
      <c r="C31" t="s">
        <v>625</v>
      </c>
      <c r="D31">
        <v>5685</v>
      </c>
      <c r="E31" s="4">
        <f>D31/SUM(D31:D32)</f>
        <v>0.89036805011746278</v>
      </c>
      <c r="F31" s="139">
        <v>3480</v>
      </c>
      <c r="G31" s="34"/>
      <c r="H31">
        <f t="shared" ref="H31" si="9">MROUND(F31*E31,1)</f>
        <v>3098</v>
      </c>
      <c r="I31" t="s">
        <v>641</v>
      </c>
    </row>
    <row r="32" spans="1:9">
      <c r="A32">
        <v>2024</v>
      </c>
      <c r="B32" t="s">
        <v>642</v>
      </c>
      <c r="C32" t="s">
        <v>625</v>
      </c>
      <c r="D32">
        <v>700</v>
      </c>
      <c r="E32" s="4">
        <f>D32/SUM(D31:D32)</f>
        <v>0.1096319498825372</v>
      </c>
      <c r="F32" s="139"/>
      <c r="G32" s="34"/>
      <c r="H32">
        <f t="shared" ref="H32" si="10">MROUND(F31*E32,1)</f>
        <v>382</v>
      </c>
      <c r="I32" t="s">
        <v>641</v>
      </c>
    </row>
    <row r="33" spans="1:9">
      <c r="A33">
        <v>2024</v>
      </c>
      <c r="B33" t="s">
        <v>640</v>
      </c>
      <c r="C33" t="s">
        <v>643</v>
      </c>
      <c r="D33">
        <v>1545</v>
      </c>
      <c r="E33" s="4">
        <f>D33/SUM(D33:D34)</f>
        <v>0.78227848101265818</v>
      </c>
      <c r="F33" s="139">
        <v>1930</v>
      </c>
      <c r="G33" s="34"/>
      <c r="H33">
        <f t="shared" ref="H33" si="11">MROUND(F33*E33,1)</f>
        <v>1510</v>
      </c>
      <c r="I33" t="s">
        <v>641</v>
      </c>
    </row>
    <row r="34" spans="1:9">
      <c r="A34">
        <v>2024</v>
      </c>
      <c r="B34" t="s">
        <v>642</v>
      </c>
      <c r="C34" t="s">
        <v>643</v>
      </c>
      <c r="D34">
        <v>430</v>
      </c>
      <c r="E34" s="4">
        <f>D34/SUM(D33:D34)</f>
        <v>0.21772151898734177</v>
      </c>
      <c r="F34" s="139"/>
      <c r="G34" s="34"/>
      <c r="H34">
        <f t="shared" ref="H34" si="12">MROUND(F33*E34,1)</f>
        <v>420</v>
      </c>
      <c r="I34" t="s">
        <v>641</v>
      </c>
    </row>
    <row r="35" spans="1:9">
      <c r="A35">
        <v>2024</v>
      </c>
      <c r="B35" t="s">
        <v>640</v>
      </c>
      <c r="C35" t="s">
        <v>644</v>
      </c>
      <c r="D35">
        <v>1165</v>
      </c>
      <c r="E35" s="4">
        <f>D35/SUM(D35:D36)</f>
        <v>0.78983050847457625</v>
      </c>
      <c r="F35" s="139">
        <v>15</v>
      </c>
      <c r="G35" s="34"/>
      <c r="H35">
        <f t="shared" ref="H35" si="13">MROUND(F35*E35,1)</f>
        <v>12</v>
      </c>
      <c r="I35" t="s">
        <v>641</v>
      </c>
    </row>
    <row r="36" spans="1:9">
      <c r="A36">
        <v>2024</v>
      </c>
      <c r="B36" t="s">
        <v>642</v>
      </c>
      <c r="C36" t="s">
        <v>644</v>
      </c>
      <c r="D36">
        <v>310</v>
      </c>
      <c r="E36" s="4">
        <f>D36/SUM(D35:D36)</f>
        <v>0.21016949152542372</v>
      </c>
      <c r="F36" s="139"/>
      <c r="G36" s="34"/>
      <c r="H36">
        <f t="shared" ref="H36" si="14">MROUND(F35*E36,1)</f>
        <v>3</v>
      </c>
      <c r="I36" t="s">
        <v>641</v>
      </c>
    </row>
    <row r="37" spans="1:9">
      <c r="A37">
        <v>2024</v>
      </c>
      <c r="B37" t="s">
        <v>640</v>
      </c>
      <c r="C37" t="s">
        <v>645</v>
      </c>
      <c r="D37">
        <v>905</v>
      </c>
      <c r="E37" s="4">
        <f>D37/SUM(D37:D38)</f>
        <v>0.79735682819383258</v>
      </c>
      <c r="F37" s="139">
        <v>220</v>
      </c>
      <c r="G37" s="34"/>
      <c r="H37">
        <f t="shared" ref="H37" si="15">MROUND(F37*E37,1)</f>
        <v>175</v>
      </c>
      <c r="I37" t="s">
        <v>641</v>
      </c>
    </row>
    <row r="38" spans="1:9">
      <c r="A38">
        <v>2024</v>
      </c>
      <c r="B38" t="s">
        <v>642</v>
      </c>
      <c r="C38" t="s">
        <v>645</v>
      </c>
      <c r="D38">
        <v>230</v>
      </c>
      <c r="E38" s="4">
        <f>D38/SUM(D37:D38)</f>
        <v>0.20264317180616739</v>
      </c>
      <c r="F38" s="139"/>
      <c r="G38" s="34"/>
      <c r="H38">
        <f t="shared" ref="H38" si="16">MROUND(F37*E38,1)</f>
        <v>45</v>
      </c>
      <c r="I38" t="s">
        <v>641</v>
      </c>
    </row>
    <row r="39" spans="1:9">
      <c r="A39">
        <v>2024</v>
      </c>
      <c r="B39" t="s">
        <v>640</v>
      </c>
      <c r="C39" t="s">
        <v>646</v>
      </c>
      <c r="D39">
        <v>35</v>
      </c>
      <c r="E39" s="4">
        <f>D39/SUM(D39:D40)</f>
        <v>0.63636363636363635</v>
      </c>
      <c r="F39" s="139">
        <v>0</v>
      </c>
      <c r="G39" s="34"/>
      <c r="H39">
        <f t="shared" ref="H39" si="17">MROUND(F39*E39,1)</f>
        <v>0</v>
      </c>
      <c r="I39" t="s">
        <v>647</v>
      </c>
    </row>
    <row r="40" spans="1:9">
      <c r="A40">
        <v>2024</v>
      </c>
      <c r="B40" t="s">
        <v>642</v>
      </c>
      <c r="C40" t="s">
        <v>646</v>
      </c>
      <c r="D40">
        <v>20</v>
      </c>
      <c r="E40" s="4">
        <f>D40/SUM(D39:D40)</f>
        <v>0.36363636363636365</v>
      </c>
      <c r="F40" s="139"/>
      <c r="G40" s="34"/>
      <c r="H40">
        <f t="shared" ref="H40" si="18">MROUND(F39*E40,1)</f>
        <v>0</v>
      </c>
      <c r="I40" t="s">
        <v>647</v>
      </c>
    </row>
    <row r="41" spans="1:9">
      <c r="A41">
        <v>2024</v>
      </c>
      <c r="B41" t="s">
        <v>640</v>
      </c>
      <c r="C41" t="s">
        <v>648</v>
      </c>
      <c r="D41">
        <f>SUMIF(B23:B40,"=F",D23:D40)</f>
        <v>13345</v>
      </c>
      <c r="E41" s="4">
        <f>D41/SUM(D41:D42)</f>
        <v>0.82836747361887031</v>
      </c>
    </row>
    <row r="42" spans="1:9">
      <c r="A42">
        <v>2024</v>
      </c>
      <c r="B42" t="s">
        <v>642</v>
      </c>
      <c r="C42" t="s">
        <v>648</v>
      </c>
      <c r="D42">
        <f>SUMIF(B23:B40,"=M",D23:D40)</f>
        <v>2765</v>
      </c>
      <c r="E42" s="4">
        <f>D42/SUM(D41:D42)</f>
        <v>0.17163252638112975</v>
      </c>
    </row>
  </sheetData>
  <mergeCells count="11">
    <mergeCell ref="L3:T3"/>
    <mergeCell ref="F39:F40"/>
    <mergeCell ref="F23:F24"/>
    <mergeCell ref="F25:F26"/>
    <mergeCell ref="F27:F28"/>
    <mergeCell ref="B3:K3"/>
    <mergeCell ref="F29:F30"/>
    <mergeCell ref="F31:F32"/>
    <mergeCell ref="F33:F34"/>
    <mergeCell ref="F35:F36"/>
    <mergeCell ref="F37:F38"/>
  </mergeCells>
  <hyperlinks>
    <hyperlink ref="A18" r:id="rId1" display="https://www.educationcounts.govt.nz/statistics/tertiary-participation" xr:uid="{CE03D826-322E-4781-880E-27EA96B3BB02}"/>
    <hyperlink ref="A2" r:id="rId2" xr:uid="{4199A382-4EDB-4BDF-9FFB-7570F24EF65D}"/>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c74ec394-8c63-4a7b-b349-56a796647fcf" xsi:nil="true"/>
    <lcf76f155ced4ddcb4097134ff3c332f xmlns="88e72a02-a785-456f-a96b-89df0b066c8b">
      <Terms xmlns="http://schemas.microsoft.com/office/infopath/2007/PartnerControls"/>
    </lcf76f155ced4ddcb4097134ff3c332f>
    <Retentionperiod xmlns="88e72a02-a785-456f-a96b-89df0b066c8b" xsi:nil="true"/>
    <Owner xmlns="88e72a02-a785-456f-a96b-89df0b066c8b">
      <UserInfo>
        <DisplayName/>
        <AccountId xsi:nil="true"/>
        <AccountType/>
      </UserInfo>
    </Owner>
    <Transfer_x003f_ xmlns="88e72a02-a785-456f-a96b-89df0b066c8b" xsi:nil="true"/>
    <DisposalAction xmlns="88e72a02-a785-456f-a96b-89df0b066c8b" xsi:nil="true"/>
    <Comments xmlns="88e72a02-a785-456f-a96b-89df0b066c8b" xsi:nil="true"/>
    <GDA xmlns="88e72a02-a785-456f-a96b-89df0b066c8b" xsi:nil="true"/>
    <GDAClass xmlns="88e72a02-a785-456f-a96b-89df0b066c8b" xsi:nil="true"/>
    <FolderOwner xmlns="88e72a02-a785-456f-a96b-89df0b066c8b">
      <UserInfo>
        <DisplayName/>
        <AccountId xsi:nil="true"/>
        <AccountType/>
      </UserInfo>
    </FolderOwner>
    <PriorityTier xmlns="88e72a02-a785-456f-a96b-89df0b066c8b" xsi:nil="true"/>
    <PriorityGroup xmlns="88e72a02-a785-456f-a96b-89df0b066c8b" xsi:nil="true"/>
    <WDCNZ xmlns="88e72a02-a785-456f-a96b-89df0b066c8b" xsi:nil="true"/>
    <Priority xmlns="88e72a02-a785-456f-a96b-89df0b066c8b" xsi:nil="true"/>
    <MaoriMetadata xmlns="88e72a02-a785-456f-a96b-89df0b066c8b" xsi:nil="true"/>
    <ISB xmlns="88e72a02-a785-456f-a96b-89df0b066c8b" xsi:nil="true"/>
    <Function xmlns="88e72a02-a785-456f-a96b-89df0b066c8b"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76597ACCBC99B4B950B427E96907763" ma:contentTypeVersion="28" ma:contentTypeDescription="Create a new document." ma:contentTypeScope="" ma:versionID="4b89e305246df5cd653863390777e48e">
  <xsd:schema xmlns:xsd="http://www.w3.org/2001/XMLSchema" xmlns:xs="http://www.w3.org/2001/XMLSchema" xmlns:p="http://schemas.microsoft.com/office/2006/metadata/properties" xmlns:ns2="88e72a02-a785-456f-a96b-89df0b066c8b" xmlns:ns3="c74ec394-8c63-4a7b-b349-56a796647fcf" targetNamespace="http://schemas.microsoft.com/office/2006/metadata/properties" ma:root="true" ma:fieldsID="5bff3786f5dc96c0993b83a21cf3388f" ns2:_="" ns3:_="">
    <xsd:import namespace="88e72a02-a785-456f-a96b-89df0b066c8b"/>
    <xsd:import namespace="c74ec394-8c63-4a7b-b349-56a796647fcf"/>
    <xsd:element name="properties">
      <xsd:complexType>
        <xsd:sequence>
          <xsd:element name="documentManagement">
            <xsd:complexType>
              <xsd:all>
                <xsd:element ref="ns2:FolderOwner" minOccurs="0"/>
                <xsd:element ref="ns2:Comments" minOccurs="0"/>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Owner" minOccurs="0"/>
                <xsd:element ref="ns2:MediaLengthInSeconds" minOccurs="0"/>
                <xsd:element ref="ns2:MediaServiceLocation" minOccurs="0"/>
                <xsd:element ref="ns2:GDAClass" minOccurs="0"/>
                <xsd:element ref="ns2:Retentionperiod" minOccurs="0"/>
                <xsd:element ref="ns2:PriorityTier" minOccurs="0"/>
                <xsd:element ref="ns2:GDA" minOccurs="0"/>
                <xsd:element ref="ns2:DisposalAction" minOccurs="0"/>
                <xsd:element ref="ns2:Transfer_x003f_" minOccurs="0"/>
                <xsd:element ref="ns2:WDCNZ" minOccurs="0"/>
                <xsd:element ref="ns2:Priority" minOccurs="0"/>
                <xsd:element ref="ns2:PriorityGroup" minOccurs="0"/>
                <xsd:element ref="ns2:Function" minOccurs="0"/>
                <xsd:element ref="ns2:ISB" minOccurs="0"/>
                <xsd:element ref="ns2:Maori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8e72a02-a785-456f-a96b-89df0b066c8b" elementFormDefault="qualified">
    <xsd:import namespace="http://schemas.microsoft.com/office/2006/documentManagement/types"/>
    <xsd:import namespace="http://schemas.microsoft.com/office/infopath/2007/PartnerControls"/>
    <xsd:element name="FolderOwner" ma:index="8" nillable="true" ma:displayName="Folder Owner" ma:format="Dropdown" ma:list="UserInfo" ma:SharePointGroup="0" ma:internalName="Folder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omments" ma:index="9" nillable="true" ma:displayName="Comments" ma:format="Dropdown" ma:internalName="Comments">
      <xsd:simpleType>
        <xsd:restriction base="dms:Text">
          <xsd:maxLength value="255"/>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929d2d71-1bea-4987-bfd9-379d5b4db186"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Owner" ma:index="21" nillable="true" ma:displayName="Owner" ma:format="Dropdown" ma:list="UserInfo" ma:SharePointGroup="0"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LengthInSeconds" ma:index="22" nillable="true" ma:displayName="MediaLengthInSeconds" ma:hidden="true" ma:internalName="MediaLengthInSeconds" ma:readOnly="true">
      <xsd:simpleType>
        <xsd:restriction base="dms:Unknown"/>
      </xsd:simpleType>
    </xsd:element>
    <xsd:element name="MediaServiceLocation" ma:index="23" nillable="true" ma:displayName="Location" ma:indexed="true" ma:internalName="MediaServiceLocation" ma:readOnly="true">
      <xsd:simpleType>
        <xsd:restriction base="dms:Text"/>
      </xsd:simpleType>
    </xsd:element>
    <xsd:element name="GDAClass" ma:index="24" nillable="true" ma:displayName="Class (GDA 6)" ma:description="Class/sub-class under General Disposal Authority 6" ma:format="Dropdown" ma:internalName="GDAClass">
      <xsd:simpleType>
        <xsd:restriction base="dms:Text">
          <xsd:maxLength value="255"/>
        </xsd:restriction>
      </xsd:simpleType>
    </xsd:element>
    <xsd:element name="Retentionperiod" ma:index="25" nillable="true" ma:displayName="Retention date" ma:description="Date that this record should be retained until under GDA6" ma:format="Dropdown" ma:internalName="Retentionperiod">
      <xsd:simpleType>
        <xsd:restriction base="dms:Text">
          <xsd:maxLength value="255"/>
        </xsd:restriction>
      </xsd:simpleType>
    </xsd:element>
    <xsd:element name="PriorityTier" ma:index="26" nillable="true" ma:displayName="Priority Tier" ma:format="Dropdown" ma:internalName="PriorityTier">
      <xsd:simpleType>
        <xsd:restriction base="dms:Choice">
          <xsd:enumeration value="A"/>
          <xsd:enumeration value="B"/>
          <xsd:enumeration value="C"/>
        </xsd:restriction>
      </xsd:simpleType>
    </xsd:element>
    <xsd:element name="GDA" ma:index="27" nillable="true" ma:displayName="GDA" ma:format="Dropdown" ma:internalName="GDA">
      <xsd:simpleType>
        <xsd:restriction base="dms:Choice">
          <xsd:enumeration value="GDA 6"/>
          <xsd:enumeration value="GDA 7"/>
        </xsd:restriction>
      </xsd:simpleType>
    </xsd:element>
    <xsd:element name="DisposalAction" ma:index="28" nillable="true" ma:displayName="Disposal Action" ma:format="Dropdown" ma:internalName="DisposalAction">
      <xsd:simpleType>
        <xsd:restriction base="dms:Choice">
          <xsd:enumeration value="Destroy"/>
          <xsd:enumeration value="Transfer to Archives NZ"/>
        </xsd:restriction>
      </xsd:simpleType>
    </xsd:element>
    <xsd:element name="Transfer_x003f_" ma:index="29" nillable="true" ma:displayName="Transfer?" ma:format="Dropdown" ma:internalName="Transfer_x003f_">
      <xsd:simpleType>
        <xsd:restriction base="dms:Text">
          <xsd:maxLength value="255"/>
        </xsd:restriction>
      </xsd:simpleType>
    </xsd:element>
    <xsd:element name="WDCNZ" ma:index="30" nillable="true" ma:displayName="WDCNZ" ma:internalName="WDCNZ">
      <xsd:simpleType>
        <xsd:restriction base="dms:Text"/>
      </xsd:simpleType>
    </xsd:element>
    <xsd:element name="Priority" ma:index="31" nillable="true" ma:displayName="Priority" ma:internalName="Priority">
      <xsd:simpleType>
        <xsd:restriction base="dms:Choice">
          <xsd:enumeration value="Tier A"/>
          <xsd:enumeration value="Tier B"/>
          <xsd:enumeration value="Tier C"/>
        </xsd:restriction>
      </xsd:simpleType>
    </xsd:element>
    <xsd:element name="PriorityGroup" ma:index="32" nillable="true" ma:displayName="Priority Group" ma:internalName="PriorityGroup">
      <xsd:simpleType>
        <xsd:restriction base="dms:Choice">
          <xsd:enumeration value="Pacific"/>
          <xsd:enumeration value="Tangata Whaikaha"/>
        </xsd:restriction>
      </xsd:simpleType>
    </xsd:element>
    <xsd:element name="Function" ma:index="33" nillable="true" ma:displayName="Function" ma:internalName="Function">
      <xsd:complexType>
        <xsd:complexContent>
          <xsd:extension base="dms:MultiChoice">
            <xsd:sequence>
              <xsd:element name="Value" maxOccurs="unbounded" minOccurs="0" nillable="true">
                <xsd:simpleType>
                  <xsd:restriction base="dms:Choice">
                    <xsd:enumeration value="IAR"/>
                    <xsd:enumeration value="QA"/>
                    <xsd:enumeration value="AM"/>
                    <xsd:enumeration value="SS&amp;QD"/>
                    <xsd:enumeration value="WFA"/>
                    <xsd:enumeration value="GOV"/>
                    <xsd:enumeration value="CORP"/>
                  </xsd:restriction>
                </xsd:simpleType>
              </xsd:element>
            </xsd:sequence>
          </xsd:extension>
        </xsd:complexContent>
      </xsd:complexType>
    </xsd:element>
    <xsd:element name="ISB" ma:index="34" nillable="true" ma:displayName="ISB" ma:internalName="ISB">
      <xsd:complexType>
        <xsd:complexContent>
          <xsd:extension base="dms:MultiChoice">
            <xsd:sequence>
              <xsd:element name="Value" maxOccurs="unbounded" minOccurs="0" nillable="true">
                <xsd:simpleType>
                  <xsd:restriction base="dms:Choice">
                    <xsd:enumeration value="CST"/>
                    <xsd:enumeration value="INF"/>
                    <xsd:enumeration value="EHC"/>
                    <xsd:enumeration value="MER"/>
                    <xsd:enumeration value="SER"/>
                    <xsd:enumeration value="TRAN"/>
                    <xsd:enumeration value="F&amp;F"/>
                    <xsd:enumeration value="ETIT"/>
                  </xsd:restriction>
                </xsd:simpleType>
              </xsd:element>
            </xsd:sequence>
          </xsd:extension>
        </xsd:complexContent>
      </xsd:complexType>
    </xsd:element>
    <xsd:element name="MaoriMetadata" ma:index="35" nillable="true" ma:displayName="Māori Metadata" ma:internalName="MaoriMetadata">
      <xsd:complexType>
        <xsd:complexContent>
          <xsd:extension base="dms:MultiChoice">
            <xsd:sequence>
              <xsd:element name="Value" maxOccurs="unbounded" minOccurs="0" nillable="true">
                <xsd:simpleType>
                  <xsd:restriction base="dms:Choice">
                    <xsd:enumeration value="Kaupapa Māori"/>
                    <xsd:enumeration value="Iwi/hapū"/>
                    <xsd:enumeration value="Te Tiriti o Waitangi"/>
                    <xsd:enumeration value="Mātauranga Māori"/>
                    <xsd:enumeration value="Māori economy"/>
                    <xsd:enumeration value="Māori workforce"/>
                    <xsd:enumeration value="Maōri learners"/>
                    <xsd:enumeration value="Māori business"/>
                    <xsd:enumeration value="Māori collectives"/>
                    <xsd:enumeration value="Māori stakeholders"/>
                  </xsd:restriction>
                </xsd:simple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74ec394-8c63-4a7b-b349-56a796647fc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0d5b6d4a-bfa5-4bc5-8d37-9a72ee51641b}" ma:internalName="TaxCatchAll" ma:showField="CatchAllData" ma:web="c74ec394-8c63-4a7b-b349-56a796647f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5D72DD-508F-4DB9-8AF8-424029EE2B9C}"/>
</file>

<file path=customXml/itemProps2.xml><?xml version="1.0" encoding="utf-8"?>
<ds:datastoreItem xmlns:ds="http://schemas.openxmlformats.org/officeDocument/2006/customXml" ds:itemID="{7EEE480E-4E67-4B6E-8F1C-684AEF53F7D2}"/>
</file>

<file path=customXml/itemProps3.xml><?xml version="1.0" encoding="utf-8"?>
<ds:datastoreItem xmlns:ds="http://schemas.openxmlformats.org/officeDocument/2006/customXml" ds:itemID="{AF80CD55-59F5-43F3-9BF6-C97AEB1962EF}"/>
</file>

<file path=docMetadata/LabelInfo.xml><?xml version="1.0" encoding="utf-8"?>
<clbl:labelList xmlns:clbl="http://schemas.microsoft.com/office/2020/mipLabelMetadata">
  <clbl:label id="{469509a0-f47e-4245-8bf1-95deae62bd7f}" enabled="0" method="" siteId="{469509a0-f47e-4245-8bf1-95deae62bd7f}"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Cerelia Diprose</dc:creator>
  <cp:keywords/>
  <dc:description/>
  <cp:lastModifiedBy/>
  <cp:revision/>
  <dcterms:created xsi:type="dcterms:W3CDTF">2025-10-05T21:30:33Z</dcterms:created>
  <dcterms:modified xsi:type="dcterms:W3CDTF">2025-12-18T22:40:00Z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0x010100576597ACCBC99B4B950B427E96907763</vt:lpwstr>
  </property>
  <property fmtid="{D5CDD505-2E9C-101B-9397-08002B2CF9AE}" pid="3" name="MediaServiceImageTags">
    <vt:lpwstr/>
  </property>
</Properties>
</file>